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ico\Desktop\"/>
    </mc:Choice>
  </mc:AlternateContent>
  <xr:revisionPtr revIDLastSave="0" documentId="13_ncr:1_{DF97D888-8D2C-4FE6-8C84-D544A1EC5F4E}" xr6:coauthVersionLast="47" xr6:coauthVersionMax="47" xr10:uidLastSave="{00000000-0000-0000-0000-000000000000}"/>
  <bookViews>
    <workbookView xWindow="-120" yWindow="-120" windowWidth="29040" windowHeight="15720" activeTab="1" xr2:uid="{DC6F54B4-6B4D-46A7-9810-BC85E275684A}"/>
  </bookViews>
  <sheets>
    <sheet name="I. Steuerlast Deckeln" sheetId="3" r:id="rId1"/>
    <sheet name="II. Aktiengewinne" sheetId="4" r:id="rId2"/>
    <sheet name="III. Aktiengewinne thesaurieren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2" i="5" l="1"/>
  <c r="R43" i="5"/>
  <c r="R44" i="5" s="1"/>
  <c r="R45" i="5" s="1"/>
  <c r="R46" i="5" s="1"/>
  <c r="R47" i="5" s="1"/>
  <c r="R48" i="5" s="1"/>
  <c r="R49" i="5" s="1"/>
  <c r="R50" i="5" s="1"/>
  <c r="R51" i="5" s="1"/>
  <c r="R52" i="5" s="1"/>
  <c r="R53" i="5" s="1"/>
  <c r="R54" i="5" s="1"/>
  <c r="R55" i="5" s="1"/>
  <c r="R56" i="5" s="1"/>
  <c r="R57" i="5" s="1"/>
  <c r="R58" i="5" s="1"/>
  <c r="R59" i="5" s="1"/>
  <c r="R60" i="5" s="1"/>
  <c r="R61" i="5" s="1"/>
  <c r="R62" i="5" s="1"/>
  <c r="R63" i="5" s="1"/>
  <c r="R64" i="5" s="1"/>
  <c r="R65" i="5" s="1"/>
  <c r="R66" i="5" s="1"/>
  <c r="R67" i="5" s="1"/>
  <c r="R68" i="5" s="1"/>
  <c r="R69" i="5" s="1"/>
  <c r="R70" i="5" s="1"/>
  <c r="R71" i="5" s="1"/>
  <c r="R72" i="5" s="1"/>
  <c r="R73" i="5" s="1"/>
  <c r="R74" i="5" s="1"/>
  <c r="R75" i="5" s="1"/>
  <c r="R76" i="5" s="1"/>
  <c r="R77" i="5" s="1"/>
  <c r="R78" i="5" s="1"/>
  <c r="R79" i="5" s="1"/>
  <c r="R80" i="5" s="1"/>
  <c r="R81" i="5" s="1"/>
  <c r="R82" i="5" s="1"/>
  <c r="R83" i="5" s="1"/>
  <c r="R84" i="5" s="1"/>
  <c r="R85" i="5" s="1"/>
  <c r="R86" i="5" s="1"/>
  <c r="C14" i="5"/>
  <c r="C15" i="5" s="1"/>
  <c r="E3" i="5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AE3" i="5" s="1"/>
  <c r="AF3" i="5" s="1"/>
  <c r="AG3" i="5" s="1"/>
  <c r="AH3" i="5" s="1"/>
  <c r="AI3" i="5" s="1"/>
  <c r="AJ3" i="5" s="1"/>
  <c r="AK3" i="5" s="1"/>
  <c r="AL3" i="5" s="1"/>
  <c r="AM3" i="5" s="1"/>
  <c r="AN3" i="5" s="1"/>
  <c r="AO3" i="5" s="1"/>
  <c r="AP3" i="5" s="1"/>
  <c r="AQ3" i="5" s="1"/>
  <c r="AR3" i="5" s="1"/>
  <c r="AS3" i="5" s="1"/>
  <c r="AT3" i="5" s="1"/>
  <c r="AU3" i="5" s="1"/>
  <c r="C5" i="5"/>
  <c r="D4" i="4"/>
  <c r="L4" i="4"/>
  <c r="L5" i="4" s="1"/>
  <c r="L6" i="4" s="1"/>
  <c r="L7" i="4" s="1"/>
  <c r="L8" i="4" s="1"/>
  <c r="L9" i="4" s="1"/>
  <c r="L10" i="4" s="1"/>
  <c r="L11" i="4" s="1"/>
  <c r="L12" i="4" s="1"/>
  <c r="L13" i="4" s="1"/>
  <c r="L14" i="4" s="1"/>
  <c r="L15" i="4" s="1"/>
  <c r="L16" i="4" s="1"/>
  <c r="L17" i="4" s="1"/>
  <c r="L18" i="4" s="1"/>
  <c r="L19" i="4" s="1"/>
  <c r="L20" i="4" s="1"/>
  <c r="L21" i="4" s="1"/>
  <c r="L22" i="4" s="1"/>
  <c r="L23" i="4" s="1"/>
  <c r="L24" i="4" s="1"/>
  <c r="L25" i="4" s="1"/>
  <c r="L26" i="4" s="1"/>
  <c r="L27" i="4" s="1"/>
  <c r="L28" i="4" s="1"/>
  <c r="I3" i="4"/>
  <c r="I4" i="4" s="1"/>
  <c r="K5" i="3"/>
  <c r="K6" i="3" s="1"/>
  <c r="K7" i="3" s="1"/>
  <c r="K8" i="3" s="1"/>
  <c r="K9" i="3" s="1"/>
  <c r="K10" i="3" s="1"/>
  <c r="K11" i="3" s="1"/>
  <c r="K12" i="3" s="1"/>
  <c r="K13" i="3" s="1"/>
  <c r="K14" i="3" s="1"/>
  <c r="K15" i="3" s="1"/>
  <c r="K16" i="3" s="1"/>
  <c r="K17" i="3" s="1"/>
  <c r="K18" i="3" s="1"/>
  <c r="K19" i="3" s="1"/>
  <c r="C8" i="3"/>
  <c r="H3" i="3"/>
  <c r="H4" i="3" s="1"/>
  <c r="C9" i="3"/>
  <c r="G6" i="3" l="1"/>
  <c r="G7" i="3" s="1"/>
  <c r="G5" i="3" s="1"/>
  <c r="C17" i="5"/>
  <c r="C18" i="5" s="1"/>
  <c r="C7" i="5"/>
  <c r="C8" i="5" s="1"/>
  <c r="C6" i="4"/>
  <c r="C7" i="4" s="1"/>
  <c r="C11" i="3"/>
  <c r="C12" i="3" s="1"/>
  <c r="C14" i="3" s="1"/>
  <c r="H13" i="3" l="1"/>
  <c r="C19" i="5"/>
  <c r="C20" i="5" s="1"/>
  <c r="C16" i="5" s="1"/>
  <c r="C9" i="5"/>
  <c r="C6" i="5" s="1"/>
  <c r="C10" i="5" s="1"/>
  <c r="C11" i="5" s="1"/>
  <c r="D4" i="5" s="1"/>
  <c r="H6" i="4"/>
  <c r="H8" i="4" s="1"/>
  <c r="C9" i="4"/>
  <c r="D5" i="4" s="1"/>
  <c r="D10" i="4" s="1"/>
  <c r="D18" i="4" s="1"/>
  <c r="H8" i="3"/>
  <c r="C22" i="5" l="1"/>
  <c r="C23" i="5" s="1"/>
  <c r="D5" i="5"/>
  <c r="D7" i="5" s="1"/>
  <c r="D8" i="5" s="1"/>
  <c r="D9" i="5" s="1"/>
  <c r="D6" i="5" s="1"/>
  <c r="D10" i="5" s="1"/>
  <c r="D11" i="5" s="1"/>
  <c r="E4" i="5" s="1"/>
  <c r="E5" i="5" s="1"/>
  <c r="E7" i="5" s="1"/>
  <c r="E8" i="5" s="1"/>
  <c r="E9" i="5" s="1"/>
  <c r="E6" i="5" s="1"/>
  <c r="E10" i="5" s="1"/>
  <c r="E11" i="5" s="1"/>
  <c r="F4" i="5" s="1"/>
  <c r="F5" i="5" s="1"/>
  <c r="F7" i="5" s="1"/>
  <c r="F8" i="5" s="1"/>
  <c r="F9" i="5" s="1"/>
  <c r="F6" i="5" s="1"/>
  <c r="F10" i="5" s="1"/>
  <c r="F11" i="5" s="1"/>
  <c r="G4" i="5" s="1"/>
  <c r="G5" i="5" s="1"/>
  <c r="H7" i="4"/>
  <c r="H9" i="4"/>
  <c r="H10" i="3"/>
  <c r="H11" i="3" s="1"/>
  <c r="H9" i="3"/>
  <c r="D14" i="5" l="1"/>
  <c r="D15" i="5" s="1"/>
  <c r="C27" i="5"/>
  <c r="C28" i="5" s="1"/>
  <c r="C29" i="5" s="1"/>
  <c r="C25" i="5"/>
  <c r="C26" i="5" s="1"/>
  <c r="G7" i="5"/>
  <c r="G8" i="5" s="1"/>
  <c r="I5" i="4"/>
  <c r="I10" i="4" s="1"/>
  <c r="I11" i="4" s="1"/>
  <c r="H12" i="3"/>
  <c r="H14" i="3" s="1"/>
  <c r="C24" i="5" l="1"/>
  <c r="C30" i="5" s="1"/>
  <c r="G9" i="5"/>
  <c r="G6" i="5" s="1"/>
  <c r="G10" i="5" s="1"/>
  <c r="G11" i="5" s="1"/>
  <c r="H4" i="5" s="1"/>
  <c r="H5" i="5" s="1"/>
  <c r="H13" i="4"/>
  <c r="H14" i="4" s="1"/>
  <c r="H15" i="4"/>
  <c r="H16" i="4" s="1"/>
  <c r="L2" i="3"/>
  <c r="A16" i="3"/>
  <c r="D17" i="5" l="1"/>
  <c r="D18" i="5" s="1"/>
  <c r="C32" i="5"/>
  <c r="H7" i="5"/>
  <c r="H8" i="5" s="1"/>
  <c r="H17" i="4"/>
  <c r="I12" i="4" s="1"/>
  <c r="I18" i="4" s="1"/>
  <c r="A20" i="4" s="1"/>
  <c r="C36" i="5" l="1"/>
  <c r="D19" i="5"/>
  <c r="D20" i="5" s="1"/>
  <c r="H9" i="5"/>
  <c r="H6" i="5" s="1"/>
  <c r="H10" i="5" s="1"/>
  <c r="H11" i="5" s="1"/>
  <c r="I4" i="5" s="1"/>
  <c r="I5" i="5" s="1"/>
  <c r="M2" i="4"/>
  <c r="D16" i="5" l="1"/>
  <c r="D22" i="5" s="1"/>
  <c r="D23" i="5" s="1"/>
  <c r="I7" i="5"/>
  <c r="I8" i="5" s="1"/>
  <c r="D25" i="5" l="1"/>
  <c r="D26" i="5" s="1"/>
  <c r="E14" i="5"/>
  <c r="E15" i="5" s="1"/>
  <c r="D27" i="5"/>
  <c r="D28" i="5" s="1"/>
  <c r="D29" i="5" s="1"/>
  <c r="I9" i="5"/>
  <c r="I6" i="5" s="1"/>
  <c r="I10" i="5" s="1"/>
  <c r="I11" i="5" s="1"/>
  <c r="J4" i="5" s="1"/>
  <c r="J5" i="5" s="1"/>
  <c r="D24" i="5" l="1"/>
  <c r="E17" i="5"/>
  <c r="J7" i="5"/>
  <c r="J8" i="5" s="1"/>
  <c r="D30" i="5" l="1"/>
  <c r="D32" i="5" s="1"/>
  <c r="E18" i="5"/>
  <c r="E19" i="5"/>
  <c r="E20" i="5" s="1"/>
  <c r="J9" i="5"/>
  <c r="J6" i="5" s="1"/>
  <c r="J10" i="5" s="1"/>
  <c r="J11" i="5" s="1"/>
  <c r="K4" i="5" s="1"/>
  <c r="K5" i="5" s="1"/>
  <c r="D36" i="5" l="1"/>
  <c r="E16" i="5"/>
  <c r="K7" i="5"/>
  <c r="K8" i="5" s="1"/>
  <c r="E22" i="5" l="1"/>
  <c r="E23" i="5" s="1"/>
  <c r="K9" i="5"/>
  <c r="K6" i="5" s="1"/>
  <c r="K10" i="5" s="1"/>
  <c r="K11" i="5" s="1"/>
  <c r="L4" i="5" s="1"/>
  <c r="L5" i="5" s="1"/>
  <c r="E27" i="5" l="1"/>
  <c r="E28" i="5" s="1"/>
  <c r="E29" i="5" s="1"/>
  <c r="E25" i="5"/>
  <c r="E26" i="5" s="1"/>
  <c r="F14" i="5"/>
  <c r="F15" i="5" s="1"/>
  <c r="L7" i="5"/>
  <c r="L8" i="5" s="1"/>
  <c r="E24" i="5" l="1"/>
  <c r="L9" i="5"/>
  <c r="L6" i="5" s="1"/>
  <c r="L10" i="5" s="1"/>
  <c r="L11" i="5" s="1"/>
  <c r="M4" i="5" s="1"/>
  <c r="M5" i="5" s="1"/>
  <c r="F17" i="5" l="1"/>
  <c r="F18" i="5" s="1"/>
  <c r="E30" i="5"/>
  <c r="E32" i="5" s="1"/>
  <c r="M7" i="5"/>
  <c r="M8" i="5" s="1"/>
  <c r="F19" i="5" l="1"/>
  <c r="F20" i="5" s="1"/>
  <c r="E36" i="5"/>
  <c r="M9" i="5"/>
  <c r="M6" i="5" s="1"/>
  <c r="M10" i="5" s="1"/>
  <c r="M11" i="5" s="1"/>
  <c r="N4" i="5" s="1"/>
  <c r="N5" i="5" s="1"/>
  <c r="F16" i="5" l="1"/>
  <c r="F22" i="5" s="1"/>
  <c r="F23" i="5" s="1"/>
  <c r="G14" i="5" s="1"/>
  <c r="G15" i="5" s="1"/>
  <c r="N7" i="5"/>
  <c r="N8" i="5" s="1"/>
  <c r="F25" i="5" l="1"/>
  <c r="F26" i="5" s="1"/>
  <c r="F27" i="5"/>
  <c r="F28" i="5" s="1"/>
  <c r="F29" i="5" s="1"/>
  <c r="G17" i="5"/>
  <c r="N9" i="5"/>
  <c r="N6" i="5" s="1"/>
  <c r="N10" i="5" s="1"/>
  <c r="N11" i="5" s="1"/>
  <c r="O4" i="5" s="1"/>
  <c r="O5" i="5" s="1"/>
  <c r="O7" i="5" s="1"/>
  <c r="F24" i="5" l="1"/>
  <c r="F30" i="5" s="1"/>
  <c r="F32" i="5" s="1"/>
  <c r="G18" i="5"/>
  <c r="G19" i="5"/>
  <c r="G20" i="5" s="1"/>
  <c r="O8" i="5"/>
  <c r="F36" i="5" l="1"/>
  <c r="G16" i="5"/>
  <c r="O9" i="5"/>
  <c r="G22" i="5" l="1"/>
  <c r="G23" i="5" s="1"/>
  <c r="O6" i="5"/>
  <c r="O10" i="5" s="1"/>
  <c r="O11" i="5" s="1"/>
  <c r="P4" i="5" s="1"/>
  <c r="P5" i="5" s="1"/>
  <c r="P7" i="5" s="1"/>
  <c r="P8" i="5" s="1"/>
  <c r="H14" i="5" l="1"/>
  <c r="H15" i="5" s="1"/>
  <c r="G27" i="5"/>
  <c r="G28" i="5" s="1"/>
  <c r="G29" i="5" s="1"/>
  <c r="G25" i="5"/>
  <c r="G26" i="5" s="1"/>
  <c r="P9" i="5"/>
  <c r="P6" i="5" s="1"/>
  <c r="P10" i="5" s="1"/>
  <c r="P11" i="5" s="1"/>
  <c r="Q4" i="5" s="1"/>
  <c r="Q5" i="5" s="1"/>
  <c r="G24" i="5" l="1"/>
  <c r="Q7" i="5"/>
  <c r="Q8" i="5" s="1"/>
  <c r="H17" i="5" l="1"/>
  <c r="H19" i="5" s="1"/>
  <c r="H20" i="5" s="1"/>
  <c r="G30" i="5"/>
  <c r="G32" i="5" s="1"/>
  <c r="Q9" i="5"/>
  <c r="Q6" i="5" s="1"/>
  <c r="Q10" i="5" s="1"/>
  <c r="Q11" i="5" s="1"/>
  <c r="R4" i="5" s="1"/>
  <c r="R5" i="5" s="1"/>
  <c r="G36" i="5" l="1"/>
  <c r="H18" i="5"/>
  <c r="H16" i="5" s="1"/>
  <c r="H22" i="5" s="1"/>
  <c r="H23" i="5" s="1"/>
  <c r="R7" i="5"/>
  <c r="R8" i="5" s="1"/>
  <c r="H25" i="5" l="1"/>
  <c r="H26" i="5" s="1"/>
  <c r="H27" i="5"/>
  <c r="H28" i="5" s="1"/>
  <c r="H29" i="5" s="1"/>
  <c r="I14" i="5"/>
  <c r="I15" i="5" s="1"/>
  <c r="I17" i="5" s="1"/>
  <c r="I18" i="5" s="1"/>
  <c r="R9" i="5"/>
  <c r="R6" i="5" s="1"/>
  <c r="R10" i="5" s="1"/>
  <c r="R11" i="5" s="1"/>
  <c r="S4" i="5" s="1"/>
  <c r="S5" i="5" s="1"/>
  <c r="H24" i="5" l="1"/>
  <c r="I19" i="5"/>
  <c r="I20" i="5" s="1"/>
  <c r="S7" i="5"/>
  <c r="S8" i="5" s="1"/>
  <c r="H30" i="5" l="1"/>
  <c r="H32" i="5" s="1"/>
  <c r="I16" i="5"/>
  <c r="S9" i="5"/>
  <c r="S6" i="5" s="1"/>
  <c r="S10" i="5" s="1"/>
  <c r="S11" i="5" s="1"/>
  <c r="T4" i="5" s="1"/>
  <c r="T5" i="5" s="1"/>
  <c r="H36" i="5" l="1"/>
  <c r="I22" i="5"/>
  <c r="I23" i="5" s="1"/>
  <c r="T7" i="5"/>
  <c r="T8" i="5" s="1"/>
  <c r="I25" i="5" l="1"/>
  <c r="I26" i="5" s="1"/>
  <c r="J14" i="5"/>
  <c r="J15" i="5" s="1"/>
  <c r="I27" i="5"/>
  <c r="I28" i="5" s="1"/>
  <c r="I29" i="5" s="1"/>
  <c r="T9" i="5"/>
  <c r="T6" i="5" s="1"/>
  <c r="T10" i="5" s="1"/>
  <c r="T11" i="5" s="1"/>
  <c r="U4" i="5" s="1"/>
  <c r="U5" i="5" s="1"/>
  <c r="I24" i="5" l="1"/>
  <c r="J17" i="5"/>
  <c r="U7" i="5"/>
  <c r="U8" i="5" s="1"/>
  <c r="I30" i="5" l="1"/>
  <c r="I32" i="5" s="1"/>
  <c r="J19" i="5"/>
  <c r="J20" i="5" s="1"/>
  <c r="J18" i="5"/>
  <c r="U9" i="5"/>
  <c r="U6" i="5" s="1"/>
  <c r="U10" i="5" s="1"/>
  <c r="U11" i="5" s="1"/>
  <c r="V4" i="5" s="1"/>
  <c r="V5" i="5" s="1"/>
  <c r="I36" i="5" l="1"/>
  <c r="J16" i="5"/>
  <c r="J22" i="5" s="1"/>
  <c r="J23" i="5" s="1"/>
  <c r="V7" i="5"/>
  <c r="V8" i="5" s="1"/>
  <c r="J25" i="5" l="1"/>
  <c r="J26" i="5" s="1"/>
  <c r="K14" i="5"/>
  <c r="K15" i="5" s="1"/>
  <c r="J27" i="5"/>
  <c r="J28" i="5" s="1"/>
  <c r="V9" i="5"/>
  <c r="V6" i="5" s="1"/>
  <c r="V10" i="5" s="1"/>
  <c r="V11" i="5" s="1"/>
  <c r="W4" i="5" s="1"/>
  <c r="W5" i="5" s="1"/>
  <c r="W7" i="5" s="1"/>
  <c r="W8" i="5" s="1"/>
  <c r="J29" i="5" l="1"/>
  <c r="J24" i="5" s="1"/>
  <c r="K17" i="5"/>
  <c r="W9" i="5"/>
  <c r="W6" i="5" s="1"/>
  <c r="W10" i="5" s="1"/>
  <c r="W11" i="5" s="1"/>
  <c r="X4" i="5" s="1"/>
  <c r="X5" i="5" s="1"/>
  <c r="X7" i="5" s="1"/>
  <c r="X8" i="5" s="1"/>
  <c r="X9" i="5" s="1"/>
  <c r="X6" i="5" s="1"/>
  <c r="X10" i="5" s="1"/>
  <c r="X11" i="5" s="1"/>
  <c r="Y4" i="5" s="1"/>
  <c r="Y5" i="5" s="1"/>
  <c r="Y7" i="5" s="1"/>
  <c r="Y8" i="5" s="1"/>
  <c r="J30" i="5" l="1"/>
  <c r="J32" i="5" s="1"/>
  <c r="K19" i="5"/>
  <c r="K20" i="5" s="1"/>
  <c r="K18" i="5"/>
  <c r="Y9" i="5"/>
  <c r="Y6" i="5" s="1"/>
  <c r="Y10" i="5" s="1"/>
  <c r="Y11" i="5" s="1"/>
  <c r="Z4" i="5" s="1"/>
  <c r="Z5" i="5" s="1"/>
  <c r="Z7" i="5" s="1"/>
  <c r="Z8" i="5" s="1"/>
  <c r="J36" i="5" l="1"/>
  <c r="K16" i="5"/>
  <c r="K22" i="5" s="1"/>
  <c r="K23" i="5" s="1"/>
  <c r="Z9" i="5"/>
  <c r="Z6" i="5" s="1"/>
  <c r="Z10" i="5" s="1"/>
  <c r="Z11" i="5" s="1"/>
  <c r="AA4" i="5" s="1"/>
  <c r="AA5" i="5" s="1"/>
  <c r="AA7" i="5" s="1"/>
  <c r="AA8" i="5" s="1"/>
  <c r="K25" i="5" l="1"/>
  <c r="K26" i="5" s="1"/>
  <c r="L14" i="5"/>
  <c r="L15" i="5" s="1"/>
  <c r="K27" i="5"/>
  <c r="K28" i="5" s="1"/>
  <c r="AA9" i="5"/>
  <c r="AA6" i="5" s="1"/>
  <c r="AA10" i="5" s="1"/>
  <c r="AA11" i="5" s="1"/>
  <c r="AB4" i="5" s="1"/>
  <c r="AB5" i="5" s="1"/>
  <c r="AB7" i="5" s="1"/>
  <c r="AB8" i="5" s="1"/>
  <c r="K29" i="5" l="1"/>
  <c r="K24" i="5" s="1"/>
  <c r="L17" i="5"/>
  <c r="AB9" i="5"/>
  <c r="AB6" i="5" s="1"/>
  <c r="AB10" i="5" s="1"/>
  <c r="AB11" i="5" s="1"/>
  <c r="AC4" i="5" s="1"/>
  <c r="AC5" i="5" s="1"/>
  <c r="AC7" i="5" s="1"/>
  <c r="AC8" i="5" s="1"/>
  <c r="K30" i="5" l="1"/>
  <c r="K32" i="5" s="1"/>
  <c r="L18" i="5"/>
  <c r="L19" i="5"/>
  <c r="L20" i="5" s="1"/>
  <c r="AC9" i="5"/>
  <c r="AC6" i="5" s="1"/>
  <c r="AC10" i="5" s="1"/>
  <c r="AC11" i="5" s="1"/>
  <c r="AD4" i="5" s="1"/>
  <c r="AD5" i="5" s="1"/>
  <c r="AD7" i="5" s="1"/>
  <c r="AD8" i="5" s="1"/>
  <c r="AD9" i="5" s="1"/>
  <c r="AD6" i="5" s="1"/>
  <c r="AD10" i="5" s="1"/>
  <c r="AD11" i="5" s="1"/>
  <c r="AE4" i="5" s="1"/>
  <c r="AE5" i="5" s="1"/>
  <c r="AE7" i="5" s="1"/>
  <c r="AE8" i="5" s="1"/>
  <c r="AE9" i="5" s="1"/>
  <c r="AE6" i="5" s="1"/>
  <c r="AE10" i="5" s="1"/>
  <c r="AE11" i="5" s="1"/>
  <c r="AF4" i="5" s="1"/>
  <c r="AF5" i="5" s="1"/>
  <c r="AF7" i="5" s="1"/>
  <c r="AF8" i="5" s="1"/>
  <c r="AF9" i="5" s="1"/>
  <c r="AF6" i="5" s="1"/>
  <c r="AF10" i="5" s="1"/>
  <c r="AF11" i="5" s="1"/>
  <c r="AG4" i="5" s="1"/>
  <c r="AG5" i="5" s="1"/>
  <c r="AG7" i="5" s="1"/>
  <c r="AG8" i="5" s="1"/>
  <c r="AG9" i="5" s="1"/>
  <c r="AG6" i="5" s="1"/>
  <c r="AG10" i="5" s="1"/>
  <c r="AG11" i="5" s="1"/>
  <c r="AH4" i="5" s="1"/>
  <c r="AH5" i="5" s="1"/>
  <c r="AH7" i="5" s="1"/>
  <c r="AH8" i="5" s="1"/>
  <c r="AH9" i="5" s="1"/>
  <c r="AH6" i="5" s="1"/>
  <c r="AH10" i="5" s="1"/>
  <c r="AH11" i="5" s="1"/>
  <c r="AI4" i="5" s="1"/>
  <c r="AI5" i="5" s="1"/>
  <c r="AI7" i="5" s="1"/>
  <c r="AI8" i="5" s="1"/>
  <c r="AI9" i="5" s="1"/>
  <c r="AI6" i="5" s="1"/>
  <c r="AI10" i="5" s="1"/>
  <c r="AI11" i="5" s="1"/>
  <c r="AJ4" i="5" s="1"/>
  <c r="AJ5" i="5" s="1"/>
  <c r="AJ7" i="5" s="1"/>
  <c r="AJ8" i="5" s="1"/>
  <c r="AJ9" i="5" s="1"/>
  <c r="AJ6" i="5" s="1"/>
  <c r="AJ10" i="5" s="1"/>
  <c r="AJ11" i="5" s="1"/>
  <c r="AK4" i="5" s="1"/>
  <c r="AK5" i="5" s="1"/>
  <c r="AK7" i="5" s="1"/>
  <c r="AK8" i="5" s="1"/>
  <c r="AK9" i="5" s="1"/>
  <c r="AK6" i="5" s="1"/>
  <c r="AK10" i="5" s="1"/>
  <c r="AK11" i="5" s="1"/>
  <c r="AL4" i="5" s="1"/>
  <c r="AL5" i="5" s="1"/>
  <c r="AL7" i="5" s="1"/>
  <c r="AL8" i="5" s="1"/>
  <c r="K36" i="5" l="1"/>
  <c r="L16" i="5"/>
  <c r="AL9" i="5"/>
  <c r="AL6" i="5" s="1"/>
  <c r="AL10" i="5" s="1"/>
  <c r="AL11" i="5" s="1"/>
  <c r="AM4" i="5" s="1"/>
  <c r="AM5" i="5" s="1"/>
  <c r="AM7" i="5" s="1"/>
  <c r="AM8" i="5" s="1"/>
  <c r="AM9" i="5" s="1"/>
  <c r="AM6" i="5" s="1"/>
  <c r="AM10" i="5" s="1"/>
  <c r="AM11" i="5" s="1"/>
  <c r="AN4" i="5" s="1"/>
  <c r="AN5" i="5" s="1"/>
  <c r="AN7" i="5" s="1"/>
  <c r="AN8" i="5" s="1"/>
  <c r="L22" i="5" l="1"/>
  <c r="L23" i="5" s="1"/>
  <c r="AN9" i="5"/>
  <c r="AN6" i="5" s="1"/>
  <c r="AN10" i="5" s="1"/>
  <c r="AN11" i="5" s="1"/>
  <c r="AO4" i="5" s="1"/>
  <c r="AO5" i="5" s="1"/>
  <c r="AO7" i="5" s="1"/>
  <c r="AO8" i="5" s="1"/>
  <c r="M14" i="5" l="1"/>
  <c r="M15" i="5" s="1"/>
  <c r="L25" i="5"/>
  <c r="L26" i="5" s="1"/>
  <c r="L27" i="5"/>
  <c r="L28" i="5" s="1"/>
  <c r="AO9" i="5"/>
  <c r="AO6" i="5" s="1"/>
  <c r="AO10" i="5" s="1"/>
  <c r="AO11" i="5" s="1"/>
  <c r="AP4" i="5" s="1"/>
  <c r="AP5" i="5" s="1"/>
  <c r="AP7" i="5" s="1"/>
  <c r="AP8" i="5" s="1"/>
  <c r="L29" i="5" l="1"/>
  <c r="L24" i="5" s="1"/>
  <c r="M17" i="5"/>
  <c r="AP9" i="5"/>
  <c r="AP6" i="5" s="1"/>
  <c r="AP10" i="5" s="1"/>
  <c r="AP11" i="5" s="1"/>
  <c r="AQ4" i="5" s="1"/>
  <c r="AQ5" i="5" s="1"/>
  <c r="AQ7" i="5" s="1"/>
  <c r="AQ8" i="5" s="1"/>
  <c r="L30" i="5" l="1"/>
  <c r="L32" i="5" s="1"/>
  <c r="M19" i="5"/>
  <c r="M20" i="5" s="1"/>
  <c r="M18" i="5"/>
  <c r="AQ9" i="5"/>
  <c r="AQ6" i="5" s="1"/>
  <c r="AQ10" i="5" s="1"/>
  <c r="AQ11" i="5" s="1"/>
  <c r="AR4" i="5" s="1"/>
  <c r="AR5" i="5" s="1"/>
  <c r="AR7" i="5" s="1"/>
  <c r="AR8" i="5" s="1"/>
  <c r="L36" i="5" l="1"/>
  <c r="M16" i="5"/>
  <c r="M22" i="5" s="1"/>
  <c r="M23" i="5" s="1"/>
  <c r="AR9" i="5"/>
  <c r="AR6" i="5" s="1"/>
  <c r="AR10" i="5" s="1"/>
  <c r="AR11" i="5" s="1"/>
  <c r="AS4" i="5" s="1"/>
  <c r="AS5" i="5" s="1"/>
  <c r="AS7" i="5" s="1"/>
  <c r="AS8" i="5" s="1"/>
  <c r="M25" i="5" l="1"/>
  <c r="M26" i="5" s="1"/>
  <c r="M27" i="5"/>
  <c r="M28" i="5" s="1"/>
  <c r="M29" i="5" s="1"/>
  <c r="N14" i="5"/>
  <c r="N15" i="5" s="1"/>
  <c r="AS9" i="5"/>
  <c r="AS6" i="5" s="1"/>
  <c r="AS10" i="5" s="1"/>
  <c r="AS11" i="5" s="1"/>
  <c r="AT4" i="5" s="1"/>
  <c r="AT5" i="5" s="1"/>
  <c r="AT7" i="5" s="1"/>
  <c r="AT8" i="5" s="1"/>
  <c r="M24" i="5" l="1"/>
  <c r="AT9" i="5"/>
  <c r="AT6" i="5" s="1"/>
  <c r="AT10" i="5" s="1"/>
  <c r="AT11" i="5" s="1"/>
  <c r="AU4" i="5" s="1"/>
  <c r="AU5" i="5" s="1"/>
  <c r="AU7" i="5" s="1"/>
  <c r="AU8" i="5" s="1"/>
  <c r="AU9" i="5" s="1"/>
  <c r="AU6" i="5" s="1"/>
  <c r="AU10" i="5" s="1"/>
  <c r="AU11" i="5" s="1"/>
  <c r="N17" i="5"/>
  <c r="M30" i="5" l="1"/>
  <c r="M32" i="5" s="1"/>
  <c r="N18" i="5"/>
  <c r="N19" i="5"/>
  <c r="N20" i="5" s="1"/>
  <c r="M36" i="5" l="1"/>
  <c r="N16" i="5"/>
  <c r="N22" i="5" l="1"/>
  <c r="N23" i="5" s="1"/>
  <c r="N27" i="5" l="1"/>
  <c r="N28" i="5" s="1"/>
  <c r="N29" i="5" s="1"/>
  <c r="O14" i="5"/>
  <c r="O15" i="5" s="1"/>
  <c r="N25" i="5"/>
  <c r="N26" i="5" s="1"/>
  <c r="N24" i="5" l="1"/>
  <c r="N30" i="5" l="1"/>
  <c r="N32" i="5" s="1"/>
  <c r="O17" i="5"/>
  <c r="N36" i="5" l="1"/>
  <c r="O18" i="5"/>
  <c r="O19" i="5"/>
  <c r="O20" i="5" s="1"/>
  <c r="O16" i="5" l="1"/>
  <c r="O22" i="5" l="1"/>
  <c r="O23" i="5" s="1"/>
  <c r="O25" i="5" l="1"/>
  <c r="O26" i="5" s="1"/>
  <c r="P14" i="5"/>
  <c r="P15" i="5" s="1"/>
  <c r="O27" i="5"/>
  <c r="O28" i="5" s="1"/>
  <c r="O29" i="5" s="1"/>
  <c r="O24" i="5" l="1"/>
  <c r="O30" i="5" s="1"/>
  <c r="O32" i="5" s="1"/>
  <c r="O36" i="5" l="1"/>
  <c r="P17" i="5"/>
  <c r="P18" i="5" l="1"/>
  <c r="P19" i="5"/>
  <c r="P20" i="5" s="1"/>
  <c r="P16" i="5" l="1"/>
  <c r="P22" i="5" l="1"/>
  <c r="P23" i="5" s="1"/>
  <c r="P25" i="5" l="1"/>
  <c r="P26" i="5" s="1"/>
  <c r="Q14" i="5"/>
  <c r="Q15" i="5" s="1"/>
  <c r="P27" i="5"/>
  <c r="P28" i="5" s="1"/>
  <c r="P29" i="5" s="1"/>
  <c r="P24" i="5" l="1"/>
  <c r="P30" i="5" l="1"/>
  <c r="P32" i="5" s="1"/>
  <c r="Q17" i="5"/>
  <c r="P36" i="5" l="1"/>
  <c r="Q18" i="5"/>
  <c r="Q19" i="5"/>
  <c r="Q20" i="5" s="1"/>
  <c r="Q16" i="5" l="1"/>
  <c r="Q22" i="5" l="1"/>
  <c r="Q23" i="5" s="1"/>
  <c r="Q25" i="5" l="1"/>
  <c r="Q26" i="5" s="1"/>
  <c r="Q27" i="5"/>
  <c r="Q28" i="5" s="1"/>
  <c r="Q29" i="5" s="1"/>
  <c r="Q24" i="5" s="1"/>
  <c r="Q30" i="5" s="1"/>
  <c r="R14" i="5"/>
  <c r="R15" i="5" s="1"/>
  <c r="Q32" i="5" l="1"/>
  <c r="Q36" i="5" l="1"/>
  <c r="R17" i="5"/>
  <c r="R18" i="5" l="1"/>
  <c r="R19" i="5"/>
  <c r="R20" i="5" s="1"/>
  <c r="R16" i="5" l="1"/>
  <c r="R22" i="5" l="1"/>
  <c r="R23" i="5" s="1"/>
  <c r="R25" i="5" l="1"/>
  <c r="R26" i="5" s="1"/>
  <c r="R27" i="5"/>
  <c r="R28" i="5" s="1"/>
  <c r="R29" i="5" s="1"/>
  <c r="S14" i="5"/>
  <c r="S15" i="5" s="1"/>
  <c r="R24" i="5" l="1"/>
  <c r="R30" i="5" s="1"/>
  <c r="R32" i="5" s="1"/>
  <c r="R36" i="5" l="1"/>
  <c r="S17" i="5"/>
  <c r="S18" i="5" l="1"/>
  <c r="S19" i="5"/>
  <c r="S20" i="5" s="1"/>
  <c r="S16" i="5" l="1"/>
  <c r="S22" i="5" l="1"/>
  <c r="S23" i="5" s="1"/>
  <c r="S25" i="5" l="1"/>
  <c r="S26" i="5" s="1"/>
  <c r="T14" i="5"/>
  <c r="T15" i="5" s="1"/>
  <c r="S27" i="5"/>
  <c r="S28" i="5" s="1"/>
  <c r="S29" i="5" s="1"/>
  <c r="S24" i="5" l="1"/>
  <c r="S30" i="5" s="1"/>
  <c r="S32" i="5" s="1"/>
  <c r="S36" i="5" l="1"/>
  <c r="T17" i="5"/>
  <c r="T18" i="5" l="1"/>
  <c r="T19" i="5"/>
  <c r="T20" i="5" s="1"/>
  <c r="T16" i="5" l="1"/>
  <c r="T22" i="5" l="1"/>
  <c r="T23" i="5" s="1"/>
  <c r="T25" i="5" l="1"/>
  <c r="T26" i="5" s="1"/>
  <c r="U14" i="5"/>
  <c r="U15" i="5" s="1"/>
  <c r="T27" i="5"/>
  <c r="T28" i="5" s="1"/>
  <c r="T29" i="5" s="1"/>
  <c r="T24" i="5" s="1"/>
  <c r="T30" i="5" s="1"/>
  <c r="T32" i="5" l="1"/>
  <c r="T36" i="5" l="1"/>
  <c r="U17" i="5"/>
  <c r="U18" i="5" l="1"/>
  <c r="U19" i="5"/>
  <c r="U20" i="5" s="1"/>
  <c r="U16" i="5" l="1"/>
  <c r="U22" i="5" l="1"/>
  <c r="U23" i="5" s="1"/>
  <c r="U25" i="5" l="1"/>
  <c r="U26" i="5" s="1"/>
  <c r="V14" i="5"/>
  <c r="V15" i="5" s="1"/>
  <c r="U27" i="5"/>
  <c r="U28" i="5" s="1"/>
  <c r="U29" i="5" s="1"/>
  <c r="U24" i="5" s="1"/>
  <c r="U30" i="5" s="1"/>
  <c r="U32" i="5" l="1"/>
  <c r="U36" i="5" l="1"/>
  <c r="V17" i="5"/>
  <c r="V18" i="5" l="1"/>
  <c r="V19" i="5"/>
  <c r="V20" i="5" s="1"/>
  <c r="V16" i="5" l="1"/>
  <c r="V22" i="5" l="1"/>
  <c r="V23" i="5" s="1"/>
  <c r="V25" i="5" l="1"/>
  <c r="V26" i="5" s="1"/>
  <c r="W14" i="5"/>
  <c r="W15" i="5" s="1"/>
  <c r="V27" i="5"/>
  <c r="V28" i="5" s="1"/>
  <c r="V29" i="5" s="1"/>
  <c r="V24" i="5" s="1"/>
  <c r="V30" i="5" s="1"/>
  <c r="V32" i="5" l="1"/>
  <c r="W17" i="5"/>
  <c r="V36" i="5" l="1"/>
  <c r="W19" i="5"/>
  <c r="W20" i="5" s="1"/>
  <c r="W18" i="5"/>
  <c r="W16" i="5" l="1"/>
  <c r="W22" i="5" l="1"/>
  <c r="W23" i="5" s="1"/>
  <c r="W27" i="5" l="1"/>
  <c r="W28" i="5" s="1"/>
  <c r="W25" i="5"/>
  <c r="W26" i="5" s="1"/>
  <c r="X14" i="5"/>
  <c r="X15" i="5" s="1"/>
  <c r="X17" i="5" l="1"/>
  <c r="W29" i="5"/>
  <c r="W24" i="5" s="1"/>
  <c r="W30" i="5" l="1"/>
  <c r="W32" i="5" s="1"/>
  <c r="X18" i="5"/>
  <c r="X19" i="5"/>
  <c r="X20" i="5" s="1"/>
  <c r="W36" i="5" l="1"/>
  <c r="X16" i="5"/>
  <c r="X22" i="5" l="1"/>
  <c r="X23" i="5" s="1"/>
  <c r="X25" i="5" l="1"/>
  <c r="X26" i="5" s="1"/>
  <c r="Y14" i="5"/>
  <c r="Y15" i="5" s="1"/>
  <c r="X27" i="5"/>
  <c r="X28" i="5" s="1"/>
  <c r="X29" i="5" l="1"/>
  <c r="X24" i="5" s="1"/>
  <c r="Y17" i="5"/>
  <c r="X30" i="5" l="1"/>
  <c r="X32" i="5" s="1"/>
  <c r="Y19" i="5"/>
  <c r="Y20" i="5" s="1"/>
  <c r="Y18" i="5"/>
  <c r="Y16" i="5" s="1"/>
  <c r="X36" i="5" l="1"/>
  <c r="Y22" i="5"/>
  <c r="Y23" i="5" s="1"/>
  <c r="Y25" i="5" l="1"/>
  <c r="Y26" i="5" s="1"/>
  <c r="Z14" i="5"/>
  <c r="Z15" i="5" s="1"/>
  <c r="Y27" i="5"/>
  <c r="Y28" i="5" s="1"/>
  <c r="Y29" i="5" s="1"/>
  <c r="Y24" i="5" s="1"/>
  <c r="Y30" i="5" l="1"/>
  <c r="Y32" i="5" s="1"/>
  <c r="Z17" i="5"/>
  <c r="Y36" i="5" l="1"/>
  <c r="Z19" i="5"/>
  <c r="Z20" i="5" s="1"/>
  <c r="Z18" i="5"/>
  <c r="Z16" i="5" l="1"/>
  <c r="Z22" i="5"/>
  <c r="Z23" i="5" s="1"/>
  <c r="Z25" i="5" l="1"/>
  <c r="Z26" i="5" s="1"/>
  <c r="AA14" i="5"/>
  <c r="AA15" i="5" s="1"/>
  <c r="Z27" i="5"/>
  <c r="Z28" i="5" s="1"/>
  <c r="Z29" i="5" l="1"/>
  <c r="Z24" i="5" s="1"/>
  <c r="Z30" i="5" s="1"/>
  <c r="AA17" i="5" l="1"/>
  <c r="Z32" i="5"/>
  <c r="Z36" i="5" l="1"/>
  <c r="AA18" i="5"/>
  <c r="AA19" i="5"/>
  <c r="AA20" i="5" s="1"/>
  <c r="AA16" i="5" l="1"/>
  <c r="AA22" i="5" l="1"/>
  <c r="AA23" i="5" s="1"/>
  <c r="AA25" i="5" l="1"/>
  <c r="AA26" i="5" s="1"/>
  <c r="AB14" i="5"/>
  <c r="AB15" i="5" s="1"/>
  <c r="AA27" i="5"/>
  <c r="AA28" i="5" s="1"/>
  <c r="AA29" i="5" s="1"/>
  <c r="AA24" i="5" l="1"/>
  <c r="AB17" i="5"/>
  <c r="AA30" i="5" l="1"/>
  <c r="AA32" i="5" s="1"/>
  <c r="AB19" i="5"/>
  <c r="AB20" i="5" s="1"/>
  <c r="AB18" i="5"/>
  <c r="AA36" i="5" l="1"/>
  <c r="AB16" i="5"/>
  <c r="AB22" i="5" s="1"/>
  <c r="AB23" i="5" s="1"/>
  <c r="AB27" i="5" l="1"/>
  <c r="AB28" i="5" s="1"/>
  <c r="AB25" i="5"/>
  <c r="AB26" i="5" s="1"/>
  <c r="AC14" i="5"/>
  <c r="AC15" i="5" s="1"/>
  <c r="AC17" i="5" l="1"/>
  <c r="AB29" i="5"/>
  <c r="AB24" i="5" s="1"/>
  <c r="AB30" i="5" l="1"/>
  <c r="AB32" i="5" s="1"/>
  <c r="AC19" i="5"/>
  <c r="AC20" i="5" s="1"/>
  <c r="AC18" i="5"/>
  <c r="AB36" i="5" l="1"/>
  <c r="AC16" i="5"/>
  <c r="AC22" i="5" s="1"/>
  <c r="AC23" i="5" s="1"/>
  <c r="AD14" i="5" l="1"/>
  <c r="AD15" i="5" s="1"/>
  <c r="AC25" i="5"/>
  <c r="AC26" i="5" s="1"/>
  <c r="AC27" i="5"/>
  <c r="AC28" i="5" s="1"/>
  <c r="AC29" i="5" s="1"/>
  <c r="AC24" i="5" s="1"/>
  <c r="AC30" i="5" l="1"/>
  <c r="AC32" i="5" s="1"/>
  <c r="AD17" i="5"/>
  <c r="AC36" i="5" l="1"/>
  <c r="AD18" i="5"/>
  <c r="AD19" i="5"/>
  <c r="AD20" i="5" s="1"/>
  <c r="AD16" i="5" l="1"/>
  <c r="AD22" i="5" l="1"/>
  <c r="AD23" i="5" s="1"/>
  <c r="AD25" i="5" l="1"/>
  <c r="AD26" i="5" s="1"/>
  <c r="AE14" i="5"/>
  <c r="AE15" i="5" s="1"/>
  <c r="AD27" i="5"/>
  <c r="AD28" i="5" s="1"/>
  <c r="AD29" i="5" l="1"/>
  <c r="AD24" i="5" s="1"/>
  <c r="AE17" i="5"/>
  <c r="AD30" i="5" l="1"/>
  <c r="AD32" i="5" s="1"/>
  <c r="AE19" i="5"/>
  <c r="AE20" i="5" s="1"/>
  <c r="AE18" i="5"/>
  <c r="AD36" i="5" l="1"/>
  <c r="AE16" i="5"/>
  <c r="AE22" i="5" s="1"/>
  <c r="AE23" i="5" s="1"/>
  <c r="AE25" i="5" l="1"/>
  <c r="AE26" i="5" s="1"/>
  <c r="AF14" i="5"/>
  <c r="AF15" i="5" s="1"/>
  <c r="AE27" i="5"/>
  <c r="AE28" i="5" s="1"/>
  <c r="AE29" i="5" s="1"/>
  <c r="AE24" i="5" l="1"/>
  <c r="AF17" i="5"/>
  <c r="AE30" i="5" l="1"/>
  <c r="AE32" i="5" s="1"/>
  <c r="AF19" i="5"/>
  <c r="AF20" i="5" s="1"/>
  <c r="AF18" i="5"/>
  <c r="AE36" i="5" l="1"/>
  <c r="AF16" i="5"/>
  <c r="AF22" i="5" s="1"/>
  <c r="AF23" i="5" s="1"/>
  <c r="AF25" i="5" l="1"/>
  <c r="AF26" i="5" s="1"/>
  <c r="AF27" i="5"/>
  <c r="AF28" i="5" s="1"/>
  <c r="AF29" i="5" s="1"/>
  <c r="AG14" i="5"/>
  <c r="AG15" i="5" s="1"/>
  <c r="AF24" i="5" l="1"/>
  <c r="AF30" i="5" s="1"/>
  <c r="AF32" i="5" s="1"/>
  <c r="AG17" i="5"/>
  <c r="AF36" i="5" l="1"/>
  <c r="AG18" i="5"/>
  <c r="AG19" i="5"/>
  <c r="AG20" i="5" s="1"/>
  <c r="AG16" i="5" l="1"/>
  <c r="AG22" i="5" l="1"/>
  <c r="AG23" i="5" s="1"/>
  <c r="AG25" i="5" l="1"/>
  <c r="AG26" i="5" s="1"/>
  <c r="AG27" i="5"/>
  <c r="AG28" i="5" s="1"/>
  <c r="AG29" i="5" s="1"/>
  <c r="AG24" i="5" s="1"/>
  <c r="AH14" i="5"/>
  <c r="AH15" i="5" s="1"/>
  <c r="AG30" i="5" l="1"/>
  <c r="AG32" i="5" s="1"/>
  <c r="AH17" i="5"/>
  <c r="AG36" i="5" l="1"/>
  <c r="AH19" i="5"/>
  <c r="AH20" i="5" s="1"/>
  <c r="AH18" i="5"/>
  <c r="AH16" i="5" l="1"/>
  <c r="AH22" i="5" s="1"/>
  <c r="AH23" i="5" s="1"/>
  <c r="AH25" i="5" l="1"/>
  <c r="AH26" i="5" s="1"/>
  <c r="AI14" i="5"/>
  <c r="AI15" i="5" s="1"/>
  <c r="AH27" i="5"/>
  <c r="AH28" i="5" s="1"/>
  <c r="AH29" i="5" l="1"/>
  <c r="AH24" i="5" s="1"/>
  <c r="AI17" i="5"/>
  <c r="AH30" i="5" l="1"/>
  <c r="AH32" i="5" s="1"/>
  <c r="AI18" i="5"/>
  <c r="AI19" i="5"/>
  <c r="AI20" i="5" s="1"/>
  <c r="AH36" i="5" l="1"/>
  <c r="AI16" i="5"/>
  <c r="AI22" i="5" l="1"/>
  <c r="AI23" i="5" s="1"/>
  <c r="AI25" i="5" l="1"/>
  <c r="AI26" i="5" s="1"/>
  <c r="AJ14" i="5"/>
  <c r="AJ15" i="5" s="1"/>
  <c r="AI27" i="5"/>
  <c r="AI28" i="5" s="1"/>
  <c r="AI29" i="5" l="1"/>
  <c r="AI24" i="5" s="1"/>
  <c r="AJ17" i="5"/>
  <c r="AI30" i="5" l="1"/>
  <c r="AI32" i="5" s="1"/>
  <c r="AJ19" i="5"/>
  <c r="AJ20" i="5" s="1"/>
  <c r="AJ18" i="5"/>
  <c r="AI36" i="5" l="1"/>
  <c r="AJ16" i="5"/>
  <c r="AJ22" i="5" s="1"/>
  <c r="AJ23" i="5" s="1"/>
  <c r="AJ25" i="5" l="1"/>
  <c r="AJ26" i="5" s="1"/>
  <c r="AK14" i="5"/>
  <c r="AK15" i="5" s="1"/>
  <c r="AJ27" i="5"/>
  <c r="AJ28" i="5" s="1"/>
  <c r="AJ29" i="5" s="1"/>
  <c r="AJ24" i="5" s="1"/>
  <c r="AJ30" i="5" l="1"/>
  <c r="AJ32" i="5" s="1"/>
  <c r="AK17" i="5"/>
  <c r="AJ36" i="5" l="1"/>
  <c r="AK18" i="5"/>
  <c r="AK19" i="5"/>
  <c r="AK20" i="5" s="1"/>
  <c r="AK16" i="5" l="1"/>
  <c r="AK22" i="5" l="1"/>
  <c r="AK23" i="5" s="1"/>
  <c r="AK25" i="5" l="1"/>
  <c r="AK26" i="5" s="1"/>
  <c r="AL14" i="5"/>
  <c r="AL15" i="5" s="1"/>
  <c r="AK27" i="5"/>
  <c r="AK28" i="5" s="1"/>
  <c r="AK29" i="5" s="1"/>
  <c r="AK24" i="5" s="1"/>
  <c r="AK30" i="5" l="1"/>
  <c r="AK32" i="5" s="1"/>
  <c r="AL17" i="5"/>
  <c r="AK36" i="5" l="1"/>
  <c r="AL18" i="5"/>
  <c r="AL19" i="5"/>
  <c r="AL20" i="5" s="1"/>
  <c r="AL16" i="5" l="1"/>
  <c r="AL22" i="5" l="1"/>
  <c r="AL23" i="5" s="1"/>
  <c r="AL25" i="5" l="1"/>
  <c r="AL26" i="5" s="1"/>
  <c r="AM14" i="5"/>
  <c r="AM15" i="5" s="1"/>
  <c r="AL27" i="5"/>
  <c r="AL28" i="5" s="1"/>
  <c r="AL29" i="5" s="1"/>
  <c r="AL24" i="5" s="1"/>
  <c r="AL30" i="5" l="1"/>
  <c r="AL32" i="5" s="1"/>
  <c r="AM17" i="5"/>
  <c r="AL36" i="5" l="1"/>
  <c r="AM18" i="5"/>
  <c r="AM19" i="5"/>
  <c r="AM20" i="5" s="1"/>
  <c r="AM16" i="5" l="1"/>
  <c r="AM22" i="5" l="1"/>
  <c r="AM23" i="5" s="1"/>
  <c r="AM25" i="5" l="1"/>
  <c r="AM26" i="5" s="1"/>
  <c r="AN14" i="5"/>
  <c r="AN15" i="5" s="1"/>
  <c r="AM27" i="5"/>
  <c r="AM28" i="5" s="1"/>
  <c r="AN17" i="5" l="1"/>
  <c r="AM29" i="5"/>
  <c r="AM24" i="5" s="1"/>
  <c r="AM30" i="5" l="1"/>
  <c r="AM32" i="5" s="1"/>
  <c r="AN18" i="5"/>
  <c r="AN19" i="5"/>
  <c r="AN20" i="5" s="1"/>
  <c r="AM36" i="5" l="1"/>
  <c r="AN16" i="5"/>
  <c r="AN22" i="5" l="1"/>
  <c r="AN23" i="5" s="1"/>
  <c r="AN25" i="5" l="1"/>
  <c r="AN26" i="5" s="1"/>
  <c r="AN27" i="5"/>
  <c r="AN28" i="5" s="1"/>
  <c r="AN29" i="5" s="1"/>
  <c r="AN24" i="5" s="1"/>
  <c r="AO14" i="5"/>
  <c r="AO15" i="5" s="1"/>
  <c r="AN30" i="5" l="1"/>
  <c r="AN32" i="5" s="1"/>
  <c r="AO17" i="5"/>
  <c r="AN36" i="5" l="1"/>
  <c r="AO18" i="5"/>
  <c r="AO19" i="5"/>
  <c r="AO20" i="5" s="1"/>
  <c r="AO16" i="5" l="1"/>
  <c r="AO22" i="5" l="1"/>
  <c r="AO23" i="5" s="1"/>
  <c r="AO25" i="5" l="1"/>
  <c r="AO26" i="5" s="1"/>
  <c r="AP14" i="5"/>
  <c r="AP15" i="5" s="1"/>
  <c r="AO27" i="5"/>
  <c r="AO28" i="5" s="1"/>
  <c r="AO29" i="5" l="1"/>
  <c r="AO24" i="5" s="1"/>
  <c r="AP17" i="5"/>
  <c r="AO30" i="5" l="1"/>
  <c r="AO32" i="5" s="1"/>
  <c r="AP19" i="5"/>
  <c r="AP20" i="5" s="1"/>
  <c r="AP18" i="5"/>
  <c r="AO36" i="5" l="1"/>
  <c r="AP16" i="5"/>
  <c r="AP22" i="5"/>
  <c r="AP23" i="5" s="1"/>
  <c r="AP25" i="5" l="1"/>
  <c r="AP26" i="5" s="1"/>
  <c r="AQ14" i="5"/>
  <c r="AQ15" i="5" s="1"/>
  <c r="AP27" i="5"/>
  <c r="AP28" i="5" s="1"/>
  <c r="AP29" i="5" l="1"/>
  <c r="AP24" i="5" s="1"/>
  <c r="AQ17" i="5"/>
  <c r="AP30" i="5" l="1"/>
  <c r="AP32" i="5" s="1"/>
  <c r="AQ18" i="5"/>
  <c r="AQ19" i="5"/>
  <c r="AQ20" i="5" s="1"/>
  <c r="AP36" i="5" l="1"/>
  <c r="AQ16" i="5"/>
  <c r="AQ22" i="5" l="1"/>
  <c r="AQ23" i="5" s="1"/>
  <c r="AQ25" i="5" l="1"/>
  <c r="AQ26" i="5" s="1"/>
  <c r="AR14" i="5"/>
  <c r="AR15" i="5" s="1"/>
  <c r="AQ27" i="5"/>
  <c r="AQ28" i="5" s="1"/>
  <c r="AQ29" i="5" l="1"/>
  <c r="AQ24" i="5" s="1"/>
  <c r="AR17" i="5"/>
  <c r="AQ30" i="5" l="1"/>
  <c r="AQ32" i="5" s="1"/>
  <c r="AR18" i="5"/>
  <c r="AR19" i="5"/>
  <c r="AR20" i="5" s="1"/>
  <c r="AQ36" i="5" l="1"/>
  <c r="AR16" i="5"/>
  <c r="AR22" i="5" l="1"/>
  <c r="AR23" i="5" s="1"/>
  <c r="AR25" i="5" l="1"/>
  <c r="AR26" i="5" s="1"/>
  <c r="AR27" i="5"/>
  <c r="AR28" i="5" s="1"/>
  <c r="AS14" i="5"/>
  <c r="AS15" i="5" s="1"/>
  <c r="AS17" i="5" l="1"/>
  <c r="AR29" i="5"/>
  <c r="AR24" i="5"/>
  <c r="AR30" i="5" l="1"/>
  <c r="AR32" i="5" s="1"/>
  <c r="AS19" i="5"/>
  <c r="AS20" i="5" s="1"/>
  <c r="AS18" i="5"/>
  <c r="AR36" i="5" l="1"/>
  <c r="AS16" i="5"/>
  <c r="AS22" i="5" s="1"/>
  <c r="AS23" i="5" s="1"/>
  <c r="AS25" i="5" l="1"/>
  <c r="AS26" i="5" s="1"/>
  <c r="AT14" i="5"/>
  <c r="AT15" i="5" s="1"/>
  <c r="AS27" i="5"/>
  <c r="AS28" i="5" s="1"/>
  <c r="AS29" i="5" l="1"/>
  <c r="AS24" i="5" s="1"/>
  <c r="AT17" i="5"/>
  <c r="AS30" i="5" l="1"/>
  <c r="AS32" i="5" s="1"/>
  <c r="AT19" i="5"/>
  <c r="AT20" i="5" s="1"/>
  <c r="AT18" i="5"/>
  <c r="AT16" i="5" s="1"/>
  <c r="AS36" i="5" l="1"/>
  <c r="AT22" i="5"/>
  <c r="AT23" i="5" s="1"/>
  <c r="AT25" i="5" l="1"/>
  <c r="AT26" i="5" s="1"/>
  <c r="AU14" i="5"/>
  <c r="AU15" i="5" s="1"/>
  <c r="AT27" i="5"/>
  <c r="AT28" i="5" s="1"/>
  <c r="AT29" i="5" l="1"/>
  <c r="AT24" i="5" s="1"/>
  <c r="AU17" i="5"/>
  <c r="AT30" i="5" l="1"/>
  <c r="AT32" i="5" s="1"/>
  <c r="AU19" i="5"/>
  <c r="AU20" i="5" s="1"/>
  <c r="AU18" i="5"/>
  <c r="AU16" i="5" s="1"/>
  <c r="AT36" i="5" l="1"/>
  <c r="AU22" i="5"/>
  <c r="AU23" i="5" s="1"/>
  <c r="AU25" i="5" l="1"/>
  <c r="AU26" i="5" s="1"/>
  <c r="AU27" i="5"/>
  <c r="AU28" i="5" s="1"/>
  <c r="AU29" i="5" s="1"/>
  <c r="AU24" i="5" l="1"/>
  <c r="AU30" i="5" s="1"/>
  <c r="AU32" i="5" s="1"/>
  <c r="AU36" i="5" s="1"/>
  <c r="C37" i="5" s="1"/>
  <c r="S40" i="5" s="1"/>
</calcChain>
</file>

<file path=xl/sharedStrings.xml><?xml version="1.0" encoding="utf-8"?>
<sst xmlns="http://schemas.openxmlformats.org/spreadsheetml/2006/main" count="127" uniqueCount="44">
  <si>
    <t>Gewinn v.St.</t>
  </si>
  <si>
    <t>=</t>
  </si>
  <si>
    <t>Eink.St (gem. §32a EStG)</t>
  </si>
  <si>
    <t>Ergebnis operatives Geschäft</t>
  </si>
  <si>
    <t>Lohn.St (gem. §32a EStG)</t>
  </si>
  <si>
    <t>Soli (5,5%)</t>
  </si>
  <si>
    <t>./.</t>
  </si>
  <si>
    <t>Einzelunternehmer</t>
  </si>
  <si>
    <t>Gewinn n.St.</t>
  </si>
  <si>
    <t>Nettogehalt</t>
  </si>
  <si>
    <t>Bruttogehalt</t>
  </si>
  <si>
    <t>+</t>
  </si>
  <si>
    <t>verfügbares Einkommen</t>
  </si>
  <si>
    <t>GmbH</t>
  </si>
  <si>
    <t>&gt;0: GmbH vorteilhaft</t>
  </si>
  <si>
    <t>&lt;0: Einzelunternehmen vorteilhaft</t>
  </si>
  <si>
    <t>Differenz</t>
  </si>
  <si>
    <t>Szenarien der Differenz (Datentabelle)</t>
  </si>
  <si>
    <r>
      <t>Soli</t>
    </r>
    <r>
      <rPr>
        <sz val="8"/>
        <color theme="1"/>
        <rFont val="Roboto"/>
      </rPr>
      <t xml:space="preserve"> (ab 19.950€ ESt, steigend, max. 5,5%)</t>
    </r>
  </si>
  <si>
    <t>K.St (15%)</t>
  </si>
  <si>
    <t>Gew.St (15%)</t>
  </si>
  <si>
    <t>Soli (5,5% auf K.St)</t>
  </si>
  <si>
    <t>GmbH - Deckeln der operativen Steuerlast</t>
  </si>
  <si>
    <t>min Zusatzkosten</t>
  </si>
  <si>
    <t>max Zusatzkosten</t>
  </si>
  <si>
    <t>GmbH – Steueroase des Aktionärs?</t>
  </si>
  <si>
    <t>Kap.St (25%)</t>
  </si>
  <si>
    <t>Startvermögen</t>
  </si>
  <si>
    <t>Aktiengewinn v.St. (7,5%)</t>
  </si>
  <si>
    <t>zu versteuern</t>
  </si>
  <si>
    <t>Endvermögen in GmbH</t>
  </si>
  <si>
    <t>Steuern auf Ausschüttung</t>
  </si>
  <si>
    <t>Steuern auf Aktiengewinn</t>
  </si>
  <si>
    <t>Kap.St (25%) + Soli (5,5%)</t>
  </si>
  <si>
    <t>zu versteuern Kap.St</t>
  </si>
  <si>
    <t>zu versteuern Teilfreistellung 60%</t>
  </si>
  <si>
    <t>Startvermögen (thesauriert)</t>
  </si>
  <si>
    <t xml:space="preserve">Privates Endvermögen </t>
  </si>
  <si>
    <t xml:space="preserve">Privaten Endvermögen </t>
  </si>
  <si>
    <t>laufende Kosten</t>
  </si>
  <si>
    <t>Amortisationsdauer</t>
  </si>
  <si>
    <t>Amortisiert?</t>
  </si>
  <si>
    <t>Szenarien der Differenz des privaten Vermögens (Datentabelle)</t>
  </si>
  <si>
    <t>Aktiengewinne thesaurieren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</si>
</sst>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#,##0\ &quot;€&quot;;\-#,##0\ &quot;€&quot;"/>
    <numFmt numFmtId="6" formatCode="#,##0\ &quot;€&quot;;[Red]\-#,##0\ &quot;€&quot;"/>
    <numFmt numFmtId="42" formatCode="_-* #,##0\ &quot;€&quot;_-;\-* #,##0\ &quot;€&quot;_-;_-* &quot;-&quot;\ &quot;€&quot;_-;_-@_-"/>
    <numFmt numFmtId="164" formatCode="0.0"/>
    <numFmt numFmtId="165" formatCode="#,##0\ &quot;€&quot;"/>
  </numFmts>
  <fonts count="6" x14ac:knownFonts="1">
    <font>
      <sz val="11"/>
      <color theme="1"/>
      <name val="Aptos Narrow"/>
      <family val="2"/>
      <scheme val="minor"/>
    </font>
    <font>
      <b/>
      <sz val="14"/>
      <color theme="1"/>
      <name val="Roboto"/>
    </font>
    <font>
      <sz val="11"/>
      <color theme="1"/>
      <name val="Roboto"/>
    </font>
    <font>
      <b/>
      <sz val="16"/>
      <color theme="1"/>
      <name val="Roboto"/>
    </font>
    <font>
      <sz val="8"/>
      <color theme="1"/>
      <name val="Roboto"/>
    </font>
    <font>
      <sz val="14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rgb="FFF1F7CB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ashed">
        <color auto="1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42" fontId="2" fillId="0" borderId="7" xfId="0" applyNumberFormat="1" applyFont="1" applyBorder="1"/>
    <xf numFmtId="42" fontId="2" fillId="0" borderId="1" xfId="0" applyNumberFormat="1" applyFont="1" applyBorder="1"/>
    <xf numFmtId="0" fontId="2" fillId="0" borderId="3" xfId="0" applyFont="1" applyBorder="1"/>
    <xf numFmtId="164" fontId="2" fillId="0" borderId="0" xfId="0" applyNumberFormat="1" applyFont="1" applyAlignment="1">
      <alignment horizontal="left"/>
    </xf>
    <xf numFmtId="42" fontId="2" fillId="0" borderId="8" xfId="0" applyNumberFormat="1" applyFont="1" applyBorder="1"/>
    <xf numFmtId="42" fontId="2" fillId="0" borderId="0" xfId="0" applyNumberFormat="1" applyFont="1"/>
    <xf numFmtId="0" fontId="2" fillId="0" borderId="1" xfId="0" applyFont="1" applyBorder="1"/>
    <xf numFmtId="1" fontId="2" fillId="0" borderId="0" xfId="0" applyNumberFormat="1" applyFont="1" applyAlignment="1">
      <alignment horizontal="left" indent="1"/>
    </xf>
    <xf numFmtId="1" fontId="2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left" wrapText="1"/>
    </xf>
    <xf numFmtId="1" fontId="2" fillId="0" borderId="1" xfId="0" applyNumberFormat="1" applyFont="1" applyBorder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indent="1"/>
    </xf>
    <xf numFmtId="1" fontId="2" fillId="0" borderId="0" xfId="0" applyNumberFormat="1" applyFont="1" applyAlignment="1">
      <alignment horizontal="left" indent="2"/>
    </xf>
    <xf numFmtId="1" fontId="2" fillId="0" borderId="0" xfId="0" applyNumberFormat="1" applyFont="1" applyAlignment="1">
      <alignment horizontal="left" wrapText="1" indent="2"/>
    </xf>
    <xf numFmtId="0" fontId="2" fillId="0" borderId="10" xfId="0" applyFont="1" applyBorder="1" applyAlignment="1">
      <alignment horizontal="left" indent="1"/>
    </xf>
    <xf numFmtId="0" fontId="2" fillId="0" borderId="11" xfId="0" applyFont="1" applyBorder="1" applyAlignment="1">
      <alignment horizontal="left" indent="2"/>
    </xf>
    <xf numFmtId="0" fontId="2" fillId="0" borderId="12" xfId="0" applyFont="1" applyBorder="1" applyAlignment="1">
      <alignment horizontal="left" indent="1"/>
    </xf>
    <xf numFmtId="1" fontId="2" fillId="0" borderId="3" xfId="0" applyNumberFormat="1" applyFont="1" applyBorder="1" applyAlignment="1">
      <alignment horizontal="left" indent="1"/>
    </xf>
    <xf numFmtId="6" fontId="2" fillId="0" borderId="0" xfId="0" applyNumberFormat="1" applyFont="1"/>
    <xf numFmtId="6" fontId="2" fillId="0" borderId="3" xfId="0" applyNumberFormat="1" applyFont="1" applyBorder="1"/>
    <xf numFmtId="6" fontId="2" fillId="0" borderId="1" xfId="0" applyNumberFormat="1" applyFont="1" applyBorder="1"/>
    <xf numFmtId="6" fontId="2" fillId="0" borderId="12" xfId="0" applyNumberFormat="1" applyFont="1" applyBorder="1"/>
    <xf numFmtId="6" fontId="2" fillId="0" borderId="0" xfId="0" applyNumberFormat="1" applyFont="1" applyAlignment="1">
      <alignment horizontal="right"/>
    </xf>
    <xf numFmtId="6" fontId="2" fillId="0" borderId="3" xfId="0" applyNumberFormat="1" applyFont="1" applyBorder="1" applyAlignment="1">
      <alignment horizontal="right"/>
    </xf>
    <xf numFmtId="6" fontId="2" fillId="0" borderId="1" xfId="0" applyNumberFormat="1" applyFont="1" applyBorder="1" applyAlignment="1">
      <alignment horizontal="right"/>
    </xf>
    <xf numFmtId="6" fontId="2" fillId="0" borderId="9" xfId="0" applyNumberFormat="1" applyFont="1" applyBorder="1"/>
    <xf numFmtId="6" fontId="2" fillId="0" borderId="10" xfId="0" applyNumberFormat="1" applyFont="1" applyBorder="1"/>
    <xf numFmtId="6" fontId="2" fillId="0" borderId="11" xfId="0" applyNumberFormat="1" applyFont="1" applyBorder="1"/>
    <xf numFmtId="6" fontId="2" fillId="0" borderId="2" xfId="0" applyNumberFormat="1" applyFont="1" applyBorder="1"/>
    <xf numFmtId="1" fontId="2" fillId="0" borderId="3" xfId="0" applyNumberFormat="1" applyFont="1" applyBorder="1" applyAlignment="1">
      <alignment horizontal="left" wrapText="1" indent="1"/>
    </xf>
    <xf numFmtId="1" fontId="2" fillId="0" borderId="12" xfId="0" applyNumberFormat="1" applyFont="1" applyBorder="1" applyAlignment="1">
      <alignment horizontal="left" indent="1"/>
    </xf>
    <xf numFmtId="6" fontId="2" fillId="0" borderId="12" xfId="0" applyNumberFormat="1" applyFont="1" applyBorder="1" applyAlignment="1">
      <alignment horizontal="right"/>
    </xf>
    <xf numFmtId="0" fontId="1" fillId="0" borderId="0" xfId="0" applyFont="1"/>
    <xf numFmtId="6" fontId="2" fillId="0" borderId="5" xfId="0" applyNumberFormat="1" applyFont="1" applyBorder="1"/>
    <xf numFmtId="6" fontId="2" fillId="0" borderId="6" xfId="0" applyNumberFormat="1" applyFont="1" applyBorder="1"/>
    <xf numFmtId="6" fontId="2" fillId="0" borderId="4" xfId="0" applyNumberFormat="1" applyFont="1" applyBorder="1"/>
    <xf numFmtId="5" fontId="2" fillId="0" borderId="5" xfId="0" applyNumberFormat="1" applyFont="1" applyBorder="1"/>
    <xf numFmtId="5" fontId="2" fillId="0" borderId="6" xfId="0" applyNumberFormat="1" applyFont="1" applyBorder="1"/>
    <xf numFmtId="5" fontId="2" fillId="0" borderId="4" xfId="0" applyNumberFormat="1" applyFont="1" applyBorder="1"/>
    <xf numFmtId="6" fontId="2" fillId="0" borderId="7" xfId="0" applyNumberFormat="1" applyFont="1" applyBorder="1"/>
    <xf numFmtId="6" fontId="2" fillId="0" borderId="8" xfId="0" applyNumberFormat="1" applyFont="1" applyBorder="1"/>
    <xf numFmtId="0" fontId="5" fillId="0" borderId="0" xfId="0" applyFont="1"/>
    <xf numFmtId="6" fontId="5" fillId="0" borderId="0" xfId="0" applyNumberFormat="1" applyFont="1"/>
    <xf numFmtId="0" fontId="2" fillId="0" borderId="0" xfId="0" applyFont="1" applyAlignment="1">
      <alignment horizontal="left"/>
    </xf>
    <xf numFmtId="6" fontId="2" fillId="0" borderId="10" xfId="0" applyNumberFormat="1" applyFont="1" applyBorder="1" applyAlignment="1">
      <alignment horizontal="right"/>
    </xf>
    <xf numFmtId="0" fontId="2" fillId="0" borderId="8" xfId="0" applyFont="1" applyBorder="1"/>
    <xf numFmtId="0" fontId="2" fillId="0" borderId="4" xfId="0" applyFont="1" applyBorder="1"/>
    <xf numFmtId="165" fontId="2" fillId="0" borderId="8" xfId="0" applyNumberFormat="1" applyFont="1" applyBorder="1"/>
    <xf numFmtId="165" fontId="2" fillId="0" borderId="7" xfId="0" applyNumberFormat="1" applyFont="1" applyBorder="1"/>
    <xf numFmtId="0" fontId="2" fillId="0" borderId="6" xfId="0" applyFont="1" applyBorder="1"/>
    <xf numFmtId="0" fontId="1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0" fontId="2" fillId="0" borderId="1" xfId="0" applyFont="1" applyBorder="1" applyAlignment="1">
      <alignment horizontal="right" vertical="top" textRotation="90"/>
    </xf>
    <xf numFmtId="0" fontId="2" fillId="0" borderId="0" xfId="0" applyFont="1" applyAlignment="1">
      <alignment horizontal="right" vertical="top" textRotation="90"/>
    </xf>
    <xf numFmtId="0" fontId="2" fillId="0" borderId="0" xfId="0" applyFont="1" applyBorder="1"/>
    <xf numFmtId="6" fontId="2" fillId="0" borderId="0" xfId="0" applyNumberFormat="1" applyFont="1" applyBorder="1"/>
    <xf numFmtId="0" fontId="2" fillId="0" borderId="1" xfId="0" applyFont="1" applyBorder="1" applyAlignment="1">
      <alignment horizontal="center" vertical="top" textRotation="90"/>
    </xf>
    <xf numFmtId="0" fontId="2" fillId="0" borderId="0" xfId="0" applyFont="1" applyAlignment="1">
      <alignment horizontal="center" vertical="top" textRotation="90"/>
    </xf>
    <xf numFmtId="0" fontId="2" fillId="0" borderId="1" xfId="0" applyFont="1" applyBorder="1" applyAlignment="1">
      <alignment horizontal="left" vertical="top" textRotation="90"/>
    </xf>
    <xf numFmtId="0" fontId="2" fillId="0" borderId="0" xfId="0" applyFont="1" applyAlignment="1">
      <alignment horizontal="left" vertical="top" textRotation="9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1F7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 sz="1400" b="0" i="0" u="none" strike="noStrike" baseline="0">
                <a:solidFill>
                  <a:schemeClr val="bg1">
                    <a:lumMod val="50000"/>
                  </a:schemeClr>
                </a:solidFill>
              </a:rPr>
              <a:t>Differenz verfügbares Einkommen = GmbH ./. Einzelunternehmer </a:t>
            </a:r>
            <a:br>
              <a:rPr lang="de-DE" sz="1400" b="0" i="0" u="none" strike="noStrike" baseline="0">
                <a:solidFill>
                  <a:schemeClr val="bg1">
                    <a:lumMod val="50000"/>
                  </a:schemeClr>
                </a:solidFill>
              </a:rPr>
            </a:br>
            <a:r>
              <a:rPr lang="de-DE" sz="1400" b="0" i="0" u="none" strike="noStrike" baseline="0">
                <a:solidFill>
                  <a:schemeClr val="bg1">
                    <a:lumMod val="50000"/>
                  </a:schemeClr>
                </a:solidFill>
              </a:rPr>
              <a:t>als Funktion des 'Ergebnis operatives Geschäft' sowie Zusatzkosten der GmbH </a:t>
            </a:r>
            <a:endParaRPr lang="de-DE" sz="1400" b="0">
              <a:solidFill>
                <a:schemeClr val="bg1">
                  <a:lumMod val="50000"/>
                </a:schemeClr>
              </a:solidFill>
            </a:endParaRP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v>Differenz (GmbH ./. EU)</c:v>
          </c:tx>
          <c:spPr>
            <a:ln w="1905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'I. Steuerlast Deckeln'!$K$3:$K$19</c:f>
              <c:numCache>
                <c:formatCode>_("€"* #,##0_);_("€"* \(#,##0\);_("€"* "-"_);_(@_)</c:formatCode>
                <c:ptCount val="17"/>
                <c:pt idx="0">
                  <c:v>0</c:v>
                </c:pt>
                <c:pt idx="1">
                  <c:v>10000</c:v>
                </c:pt>
                <c:pt idx="2">
                  <c:v>20000</c:v>
                </c:pt>
                <c:pt idx="3">
                  <c:v>30000</c:v>
                </c:pt>
                <c:pt idx="4">
                  <c:v>40000</c:v>
                </c:pt>
                <c:pt idx="5">
                  <c:v>50000</c:v>
                </c:pt>
                <c:pt idx="6">
                  <c:v>60000</c:v>
                </c:pt>
                <c:pt idx="7">
                  <c:v>70000</c:v>
                </c:pt>
                <c:pt idx="8">
                  <c:v>80000</c:v>
                </c:pt>
                <c:pt idx="9">
                  <c:v>90000</c:v>
                </c:pt>
                <c:pt idx="10">
                  <c:v>100000</c:v>
                </c:pt>
                <c:pt idx="11">
                  <c:v>110000</c:v>
                </c:pt>
                <c:pt idx="12">
                  <c:v>120000</c:v>
                </c:pt>
                <c:pt idx="13">
                  <c:v>130000</c:v>
                </c:pt>
                <c:pt idx="14">
                  <c:v>140000</c:v>
                </c:pt>
                <c:pt idx="15">
                  <c:v>150000</c:v>
                </c:pt>
                <c:pt idx="16">
                  <c:v>160000</c:v>
                </c:pt>
              </c:numCache>
            </c:numRef>
          </c:xVal>
          <c:yVal>
            <c:numRef>
              <c:f>'I. Steuerlast Deckeln'!$L$3:$L$19</c:f>
              <c:numCache>
                <c:formatCode>"€"#,##0_);\("€"#,##0\)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145.60267173120519</c:v>
                </c:pt>
                <c:pt idx="6">
                  <c:v>786.91636773120263</c:v>
                </c:pt>
                <c:pt idx="7">
                  <c:v>1777.3295206976036</c:v>
                </c:pt>
                <c:pt idx="8">
                  <c:v>3220.6610406976033</c:v>
                </c:pt>
                <c:pt idx="9">
                  <c:v>4837.9610406976062</c:v>
                </c:pt>
                <c:pt idx="10">
                  <c:v>6455.2610406976019</c:v>
                </c:pt>
                <c:pt idx="11">
                  <c:v>8072.5610406976048</c:v>
                </c:pt>
                <c:pt idx="12">
                  <c:v>9536.6739206976054</c:v>
                </c:pt>
                <c:pt idx="13">
                  <c:v>10885.173920697605</c:v>
                </c:pt>
                <c:pt idx="14">
                  <c:v>12233.673920697605</c:v>
                </c:pt>
                <c:pt idx="15">
                  <c:v>13582.173920697605</c:v>
                </c:pt>
                <c:pt idx="16">
                  <c:v>14930.673920697605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24E-451B-8496-5C6E304204DB}"/>
            </c:ext>
          </c:extLst>
        </c:ser>
        <c:ser>
          <c:idx val="3"/>
          <c:order val="1"/>
          <c:tx>
            <c:strRef>
              <c:f>'I. Steuerlast Deckeln'!$M$2</c:f>
              <c:strCache>
                <c:ptCount val="1"/>
                <c:pt idx="0">
                  <c:v>min Zusatzkosten</c:v>
                </c:pt>
              </c:strCache>
            </c:strRef>
          </c:tx>
          <c:spPr>
            <a:ln w="12700"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'I. Steuerlast Deckeln'!$K$3:$K$19</c:f>
              <c:numCache>
                <c:formatCode>_("€"* #,##0_);_("€"* \(#,##0\);_("€"* "-"_);_(@_)</c:formatCode>
                <c:ptCount val="17"/>
                <c:pt idx="0">
                  <c:v>0</c:v>
                </c:pt>
                <c:pt idx="1">
                  <c:v>10000</c:v>
                </c:pt>
                <c:pt idx="2">
                  <c:v>20000</c:v>
                </c:pt>
                <c:pt idx="3">
                  <c:v>30000</c:v>
                </c:pt>
                <c:pt idx="4">
                  <c:v>40000</c:v>
                </c:pt>
                <c:pt idx="5">
                  <c:v>50000</c:v>
                </c:pt>
                <c:pt idx="6">
                  <c:v>60000</c:v>
                </c:pt>
                <c:pt idx="7">
                  <c:v>70000</c:v>
                </c:pt>
                <c:pt idx="8">
                  <c:v>80000</c:v>
                </c:pt>
                <c:pt idx="9">
                  <c:v>90000</c:v>
                </c:pt>
                <c:pt idx="10">
                  <c:v>100000</c:v>
                </c:pt>
                <c:pt idx="11">
                  <c:v>110000</c:v>
                </c:pt>
                <c:pt idx="12">
                  <c:v>120000</c:v>
                </c:pt>
                <c:pt idx="13">
                  <c:v>130000</c:v>
                </c:pt>
                <c:pt idx="14">
                  <c:v>140000</c:v>
                </c:pt>
                <c:pt idx="15">
                  <c:v>150000</c:v>
                </c:pt>
                <c:pt idx="16">
                  <c:v>160000</c:v>
                </c:pt>
              </c:numCache>
            </c:numRef>
          </c:xVal>
          <c:yVal>
            <c:numRef>
              <c:f>'I. Steuerlast Deckeln'!$M$3:$M$19</c:f>
              <c:numCache>
                <c:formatCode>_("€"* #,##0_);_("€"* \(#,##0\);_("€"* "-"_);_(@_)</c:formatCode>
                <c:ptCount val="17"/>
                <c:pt idx="0">
                  <c:v>3000</c:v>
                </c:pt>
                <c:pt idx="1">
                  <c:v>3000</c:v>
                </c:pt>
                <c:pt idx="2">
                  <c:v>3000</c:v>
                </c:pt>
                <c:pt idx="3">
                  <c:v>3000</c:v>
                </c:pt>
                <c:pt idx="4">
                  <c:v>3000</c:v>
                </c:pt>
                <c:pt idx="5">
                  <c:v>3000</c:v>
                </c:pt>
                <c:pt idx="6">
                  <c:v>3000</c:v>
                </c:pt>
                <c:pt idx="7">
                  <c:v>3000</c:v>
                </c:pt>
                <c:pt idx="8">
                  <c:v>3000</c:v>
                </c:pt>
                <c:pt idx="9">
                  <c:v>3000</c:v>
                </c:pt>
                <c:pt idx="10">
                  <c:v>3000</c:v>
                </c:pt>
                <c:pt idx="11">
                  <c:v>3000</c:v>
                </c:pt>
                <c:pt idx="12">
                  <c:v>3000</c:v>
                </c:pt>
                <c:pt idx="13">
                  <c:v>3000</c:v>
                </c:pt>
                <c:pt idx="14">
                  <c:v>3000</c:v>
                </c:pt>
                <c:pt idx="15">
                  <c:v>3000</c:v>
                </c:pt>
                <c:pt idx="16">
                  <c:v>3000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24E-451B-8496-5C6E304204DB}"/>
            </c:ext>
          </c:extLst>
        </c:ser>
        <c:ser>
          <c:idx val="1"/>
          <c:order val="2"/>
          <c:tx>
            <c:strRef>
              <c:f>'I. Steuerlast Deckeln'!$M$2</c:f>
              <c:strCache>
                <c:ptCount val="1"/>
                <c:pt idx="0">
                  <c:v>min Zusatzkosten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'I. Steuerlast Deckeln'!$K$3:$K$19</c:f>
              <c:numCache>
                <c:formatCode>_("€"* #,##0_);_("€"* \(#,##0\);_("€"* "-"_);_(@_)</c:formatCode>
                <c:ptCount val="17"/>
                <c:pt idx="0">
                  <c:v>0</c:v>
                </c:pt>
                <c:pt idx="1">
                  <c:v>10000</c:v>
                </c:pt>
                <c:pt idx="2">
                  <c:v>20000</c:v>
                </c:pt>
                <c:pt idx="3">
                  <c:v>30000</c:v>
                </c:pt>
                <c:pt idx="4">
                  <c:v>40000</c:v>
                </c:pt>
                <c:pt idx="5">
                  <c:v>50000</c:v>
                </c:pt>
                <c:pt idx="6">
                  <c:v>60000</c:v>
                </c:pt>
                <c:pt idx="7">
                  <c:v>70000</c:v>
                </c:pt>
                <c:pt idx="8">
                  <c:v>80000</c:v>
                </c:pt>
                <c:pt idx="9">
                  <c:v>90000</c:v>
                </c:pt>
                <c:pt idx="10">
                  <c:v>100000</c:v>
                </c:pt>
                <c:pt idx="11">
                  <c:v>110000</c:v>
                </c:pt>
                <c:pt idx="12">
                  <c:v>120000</c:v>
                </c:pt>
                <c:pt idx="13">
                  <c:v>130000</c:v>
                </c:pt>
                <c:pt idx="14">
                  <c:v>140000</c:v>
                </c:pt>
                <c:pt idx="15">
                  <c:v>150000</c:v>
                </c:pt>
                <c:pt idx="16">
                  <c:v>160000</c:v>
                </c:pt>
              </c:numCache>
            </c:numRef>
          </c:xVal>
          <c:yVal>
            <c:numRef>
              <c:f>'I. Steuerlast Deckeln'!$N$3:$N$19</c:f>
              <c:numCache>
                <c:formatCode>_("€"* #,##0_);_("€"* \(#,##0\);_("€"* "-"_);_(@_)</c:formatCode>
                <c:ptCount val="17"/>
                <c:pt idx="0">
                  <c:v>12000</c:v>
                </c:pt>
                <c:pt idx="1">
                  <c:v>12000</c:v>
                </c:pt>
                <c:pt idx="2">
                  <c:v>12000</c:v>
                </c:pt>
                <c:pt idx="3">
                  <c:v>12000</c:v>
                </c:pt>
                <c:pt idx="4">
                  <c:v>12000</c:v>
                </c:pt>
                <c:pt idx="5">
                  <c:v>12000</c:v>
                </c:pt>
                <c:pt idx="6">
                  <c:v>12000</c:v>
                </c:pt>
                <c:pt idx="7">
                  <c:v>12000</c:v>
                </c:pt>
                <c:pt idx="8">
                  <c:v>12000</c:v>
                </c:pt>
                <c:pt idx="9">
                  <c:v>12000</c:v>
                </c:pt>
                <c:pt idx="10">
                  <c:v>12000</c:v>
                </c:pt>
                <c:pt idx="11">
                  <c:v>12000</c:v>
                </c:pt>
                <c:pt idx="12">
                  <c:v>12000</c:v>
                </c:pt>
                <c:pt idx="13">
                  <c:v>12000</c:v>
                </c:pt>
                <c:pt idx="14">
                  <c:v>12000</c:v>
                </c:pt>
                <c:pt idx="15">
                  <c:v>12000</c:v>
                </c:pt>
                <c:pt idx="16">
                  <c:v>12000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24E-451B-8496-5C6E30420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3069039"/>
        <c:axId val="1473068559"/>
      </c:scatterChart>
      <c:valAx>
        <c:axId val="1473069039"/>
        <c:scaling>
          <c:orientation val="minMax"/>
          <c:max val="160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r>
                  <a:rPr lang="de-DE"/>
                  <a:t>Ergebnis</a:t>
                </a:r>
                <a:r>
                  <a:rPr lang="de-DE" baseline="0"/>
                  <a:t> operatives Geschäft</a:t>
                </a:r>
                <a:endParaRPr lang="de-DE"/>
              </a:p>
            </c:rich>
          </c:tx>
          <c:layout>
            <c:manualLayout>
              <c:xMode val="edge"/>
              <c:yMode val="edge"/>
              <c:x val="0.43175903614457833"/>
              <c:y val="0.9499162576165738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_(&quot;€&quot;* #,##0_);_(&quot;€&quot;* \(#,##0\);_(&quot;€&quot;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de-DE"/>
          </a:p>
        </c:txPr>
        <c:crossAx val="1473068559"/>
        <c:crosses val="autoZero"/>
        <c:crossBetween val="midCat"/>
      </c:valAx>
      <c:valAx>
        <c:axId val="1473068559"/>
        <c:scaling>
          <c:orientation val="minMax"/>
          <c:max val="1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r>
                  <a:rPr lang="de-DE"/>
                  <a:t>Differenz = GmbH ./.</a:t>
                </a:r>
                <a:r>
                  <a:rPr lang="de-DE" baseline="0"/>
                  <a:t> Einzelunternehmer</a:t>
                </a:r>
                <a:endParaRPr lang="de-DE"/>
              </a:p>
            </c:rich>
          </c:tx>
          <c:layout>
            <c:manualLayout>
              <c:xMode val="edge"/>
              <c:yMode val="edge"/>
              <c:x val="1.5663240332843859E-2"/>
              <c:y val="0.2421693436608604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&quot;€&quot;#,##0_);\(&quot;€&quot;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de-DE"/>
          </a:p>
        </c:txPr>
        <c:crossAx val="1473069039"/>
        <c:crosses val="autoZero"/>
        <c:crossBetween val="midCat"/>
      </c:valAx>
    </c:plotArea>
    <c:legend>
      <c:legendPos val="tr"/>
      <c:legendEntry>
        <c:idx val="2"/>
        <c:delete val="1"/>
      </c:legendEntry>
      <c:layout>
        <c:manualLayout>
          <c:xMode val="edge"/>
          <c:yMode val="edge"/>
          <c:x val="9.9354306113342256E-2"/>
          <c:y val="0.13369904984282999"/>
          <c:w val="0.21269433288710396"/>
          <c:h val="0.10860226541184521"/>
        </c:manualLayout>
      </c:layout>
      <c:overlay val="1"/>
      <c:spPr>
        <a:solidFill>
          <a:schemeClr val="bg1"/>
        </a:solidFill>
        <a:ln w="6350">
          <a:solidFill>
            <a:schemeClr val="bg1">
              <a:lumMod val="75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/>
  </c:chart>
  <c:txPr>
    <a:bodyPr/>
    <a:lstStyle/>
    <a:p>
      <a:pPr>
        <a:defRPr>
          <a:latin typeface="Roboto" panose="02000000000000000000" pitchFamily="2" charset="0"/>
          <a:ea typeface="Roboto" panose="02000000000000000000" pitchFamily="2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de-DE" sz="14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r>
              <a:rPr lang="de-DE" sz="1400" b="0" i="0" u="none" strike="noStrike" baseline="0"/>
              <a:t>Differenz der privaten Endvermögen = GmbH ./. Einzelunternehmer </a:t>
            </a:r>
          </a:p>
          <a:p>
            <a:pPr>
              <a:defRPr lang="de-DE" sz="1400" b="0" i="0" u="none" strike="noStrike" kern="1200" baseline="0">
                <a:solidFill>
                  <a:schemeClr val="bg1">
                    <a:lumMod val="5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r>
              <a:rPr lang="de-DE" sz="1400" b="0" i="0" u="none" strike="noStrike" baseline="0"/>
              <a:t>als Funktion des 'Startvermögen'</a:t>
            </a:r>
            <a:endParaRPr lang="de-DE" sz="1400" b="0" i="0" u="none" strike="noStrike" kern="1200" baseline="0">
              <a:solidFill>
                <a:schemeClr val="bg1">
                  <a:lumMod val="5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+mn-cs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6496764837126284E-2"/>
          <c:y val="0.12998520920861895"/>
          <c:w val="0.86141789379741185"/>
          <c:h val="0.80468686273064549"/>
        </c:manualLayout>
      </c:layout>
      <c:scatterChart>
        <c:scatterStyle val="lineMarker"/>
        <c:varyColors val="0"/>
        <c:ser>
          <c:idx val="2"/>
          <c:order val="0"/>
          <c:spPr>
            <a:ln w="1905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'II. Aktiengewinne'!$L$3:$L$28</c:f>
              <c:numCache>
                <c:formatCode>"€"#,##0_);[Red]\("€"#,##0\)</c:formatCode>
                <c:ptCount val="26"/>
                <c:pt idx="0">
                  <c:v>25000</c:v>
                </c:pt>
                <c:pt idx="1">
                  <c:v>325000</c:v>
                </c:pt>
                <c:pt idx="2">
                  <c:v>625000</c:v>
                </c:pt>
                <c:pt idx="3">
                  <c:v>925000</c:v>
                </c:pt>
                <c:pt idx="4">
                  <c:v>1225000</c:v>
                </c:pt>
                <c:pt idx="5">
                  <c:v>1525000</c:v>
                </c:pt>
                <c:pt idx="6">
                  <c:v>1825000</c:v>
                </c:pt>
                <c:pt idx="7">
                  <c:v>2125000</c:v>
                </c:pt>
                <c:pt idx="8">
                  <c:v>2425000</c:v>
                </c:pt>
                <c:pt idx="9">
                  <c:v>2725000</c:v>
                </c:pt>
                <c:pt idx="10">
                  <c:v>3025000</c:v>
                </c:pt>
                <c:pt idx="11">
                  <c:v>3325000</c:v>
                </c:pt>
                <c:pt idx="12">
                  <c:v>3625000</c:v>
                </c:pt>
                <c:pt idx="13">
                  <c:v>3925000</c:v>
                </c:pt>
                <c:pt idx="14">
                  <c:v>4225000</c:v>
                </c:pt>
                <c:pt idx="15">
                  <c:v>4525000</c:v>
                </c:pt>
                <c:pt idx="16">
                  <c:v>4825000</c:v>
                </c:pt>
                <c:pt idx="17">
                  <c:v>5125000</c:v>
                </c:pt>
                <c:pt idx="18">
                  <c:v>5425000</c:v>
                </c:pt>
                <c:pt idx="19">
                  <c:v>5725000</c:v>
                </c:pt>
                <c:pt idx="20">
                  <c:v>6025000</c:v>
                </c:pt>
                <c:pt idx="21">
                  <c:v>6325000</c:v>
                </c:pt>
                <c:pt idx="22">
                  <c:v>6625000</c:v>
                </c:pt>
                <c:pt idx="23">
                  <c:v>6925000</c:v>
                </c:pt>
                <c:pt idx="24">
                  <c:v>7225000</c:v>
                </c:pt>
                <c:pt idx="25">
                  <c:v>7525000</c:v>
                </c:pt>
              </c:numCache>
            </c:numRef>
          </c:xVal>
          <c:yVal>
            <c:numRef>
              <c:f>'II. Aktiengewinne'!$M$3:$M$28</c:f>
              <c:numCache>
                <c:formatCode>"€"#,##0_);[Red]\("€"#,##0\)</c:formatCode>
                <c:ptCount val="26"/>
                <c:pt idx="0">
                  <c:v>-21.276474609374418</c:v>
                </c:pt>
                <c:pt idx="1">
                  <c:v>2302.5848541762098</c:v>
                </c:pt>
                <c:pt idx="2">
                  <c:v>3826.9161031246185</c:v>
                </c:pt>
                <c:pt idx="3">
                  <c:v>4871.4895741074579</c:v>
                </c:pt>
                <c:pt idx="4">
                  <c:v>5641.4554464011453</c:v>
                </c:pt>
                <c:pt idx="5">
                  <c:v>6000.0518316403031</c:v>
                </c:pt>
                <c:pt idx="6">
                  <c:v>5859.8510864155833</c:v>
                </c:pt>
                <c:pt idx="7">
                  <c:v>5621.4336083270609</c:v>
                </c:pt>
                <c:pt idx="8">
                  <c:v>5336.4371099430136</c:v>
                </c:pt>
                <c:pt idx="9">
                  <c:v>5310.4162645372562</c:v>
                </c:pt>
                <c:pt idx="10">
                  <c:v>5243.715927106794</c:v>
                </c:pt>
                <c:pt idx="11">
                  <c:v>5144.7112665204331</c:v>
                </c:pt>
                <c:pt idx="12">
                  <c:v>5019.6260370896198</c:v>
                </c:pt>
                <c:pt idx="13">
                  <c:v>4873.1817108602263</c:v>
                </c:pt>
                <c:pt idx="14">
                  <c:v>4709.0249554347247</c:v>
                </c:pt>
                <c:pt idx="15">
                  <c:v>4530.0170038361102</c:v>
                </c:pt>
                <c:pt idx="16">
                  <c:v>4338.4343126090243</c:v>
                </c:pt>
                <c:pt idx="17">
                  <c:v>4136.1106947436929</c:v>
                </c:pt>
                <c:pt idx="18">
                  <c:v>3688.3659480372444</c:v>
                </c:pt>
                <c:pt idx="19">
                  <c:v>3111.0813383758068</c:v>
                </c:pt>
                <c:pt idx="20">
                  <c:v>2521.4541777363047</c:v>
                </c:pt>
                <c:pt idx="21">
                  <c:v>1920.9914032770321</c:v>
                </c:pt>
                <c:pt idx="22">
                  <c:v>1310.9642304731533</c:v>
                </c:pt>
                <c:pt idx="23">
                  <c:v>692.45250929053873</c:v>
                </c:pt>
                <c:pt idx="24">
                  <c:v>66.37942772731185</c:v>
                </c:pt>
                <c:pt idx="25">
                  <c:v>-566.4610723759979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08-4947-BCF0-F4D487088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3069039"/>
        <c:axId val="1473068559"/>
      </c:scatterChart>
      <c:valAx>
        <c:axId val="1473069039"/>
        <c:scaling>
          <c:orientation val="minMax"/>
          <c:max val="750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r>
                  <a:rPr lang="de-DE"/>
                  <a:t>Startvermögen</a:t>
                </a:r>
              </a:p>
            </c:rich>
          </c:tx>
          <c:layout>
            <c:manualLayout>
              <c:xMode val="edge"/>
              <c:yMode val="edge"/>
              <c:x val="0.43175903614457833"/>
              <c:y val="0.9499162576165738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&quot;€&quot;#,##0_);[Red]\(&quot;€&quot;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de-DE"/>
          </a:p>
        </c:txPr>
        <c:crossAx val="1473068559"/>
        <c:crosses val="autoZero"/>
        <c:crossBetween val="midCat"/>
      </c:valAx>
      <c:valAx>
        <c:axId val="1473068559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r>
                  <a:rPr lang="de-DE"/>
                  <a:t>Differenz</a:t>
                </a:r>
                <a:r>
                  <a:rPr lang="de-DE" baseline="0"/>
                  <a:t> der privaten Endvermögen</a:t>
                </a:r>
                <a:endParaRPr lang="de-DE"/>
              </a:p>
            </c:rich>
          </c:tx>
          <c:layout>
            <c:manualLayout>
              <c:xMode val="edge"/>
              <c:yMode val="edge"/>
              <c:x val="7.1625390450691644E-3"/>
              <c:y val="0.27961317903737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&quot;€&quot;#,##0_);[Red]\(&quot;€&quot;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de-DE"/>
          </a:p>
        </c:txPr>
        <c:crossAx val="1473069039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>
          <a:latin typeface="Roboto" panose="02000000000000000000" pitchFamily="2" charset="0"/>
          <a:ea typeface="Roboto" panose="02000000000000000000" pitchFamily="2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r>
              <a:rPr lang="de-DE"/>
              <a:t>Differenz der Privatvermögen von GmbH und Einzelunternehmer </a:t>
            </a:r>
          </a:p>
          <a:p>
            <a:pPr>
              <a:defRPr/>
            </a:pPr>
            <a:r>
              <a:rPr lang="de-DE"/>
              <a:t>nach Ende der Thesaurierung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05198400839052"/>
          <c:y val="0.13760853174603174"/>
          <c:w val="0.87945439064411901"/>
          <c:h val="0.7993954365079365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</c:spPr>
          <c:invertIfNegative val="1"/>
          <c:cat>
            <c:numRef>
              <c:f>'III. Aktiengewinne thesaurieren'!$C$3:$AU$3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cat>
          <c:val>
            <c:numRef>
              <c:f>'III. Aktiengewinne thesaurieren'!$C$32:$AU$32</c:f>
              <c:numCache>
                <c:formatCode>"€"#,##0_);[Red]\("€"#,##0\)</c:formatCode>
                <c:ptCount val="45"/>
                <c:pt idx="0">
                  <c:v>-6152.6859077320114</c:v>
                </c:pt>
                <c:pt idx="1">
                  <c:v>-7340.1029077135754</c:v>
                </c:pt>
                <c:pt idx="2">
                  <c:v>-8563.3560615282186</c:v>
                </c:pt>
                <c:pt idx="3">
                  <c:v>-9823.8708197876695</c:v>
                </c:pt>
                <c:pt idx="4">
                  <c:v>-11123.488134178973</c:v>
                </c:pt>
                <c:pt idx="5">
                  <c:v>-12464.578668200309</c:v>
                </c:pt>
                <c:pt idx="6">
                  <c:v>-13850.179347419296</c:v>
                </c:pt>
                <c:pt idx="7">
                  <c:v>-15278.178842113135</c:v>
                </c:pt>
                <c:pt idx="8">
                  <c:v>-16734.004377671896</c:v>
                </c:pt>
                <c:pt idx="9">
                  <c:v>-18210.650115244905</c:v>
                </c:pt>
                <c:pt idx="10">
                  <c:v>-19700.663954886826</c:v>
                </c:pt>
                <c:pt idx="11">
                  <c:v>-21195.593869226461</c:v>
                </c:pt>
                <c:pt idx="12">
                  <c:v>-22685.904013580643</c:v>
                </c:pt>
                <c:pt idx="13">
                  <c:v>-24160.882543888758</c:v>
                </c:pt>
                <c:pt idx="14">
                  <c:v>-25622.661545710143</c:v>
                </c:pt>
                <c:pt idx="15">
                  <c:v>-27348.68333784907</c:v>
                </c:pt>
                <c:pt idx="16">
                  <c:v>-29046.937759515742</c:v>
                </c:pt>
                <c:pt idx="17">
                  <c:v>-30702.752836163592</c:v>
                </c:pt>
                <c:pt idx="18">
                  <c:v>-32299.80822485793</c:v>
                </c:pt>
                <c:pt idx="19">
                  <c:v>-33819.987228830258</c:v>
                </c:pt>
                <c:pt idx="20">
                  <c:v>-35057.717973365332</c:v>
                </c:pt>
                <c:pt idx="21">
                  <c:v>-36083.827337344905</c:v>
                </c:pt>
                <c:pt idx="22">
                  <c:v>-36944.023120747268</c:v>
                </c:pt>
                <c:pt idx="23">
                  <c:v>-37609.681841445563</c:v>
                </c:pt>
                <c:pt idx="24">
                  <c:v>-38049.297559302533</c:v>
                </c:pt>
                <c:pt idx="25">
                  <c:v>-38228.225134964974</c:v>
                </c:pt>
                <c:pt idx="26">
                  <c:v>-38108.401462685259</c:v>
                </c:pt>
                <c:pt idx="27">
                  <c:v>-37648.04297656269</c:v>
                </c:pt>
                <c:pt idx="28">
                  <c:v>-36801.317593529646</c:v>
                </c:pt>
                <c:pt idx="29">
                  <c:v>-35887.250531949452</c:v>
                </c:pt>
                <c:pt idx="30">
                  <c:v>-34670.425559317053</c:v>
                </c:pt>
                <c:pt idx="31">
                  <c:v>-32955.534137091308</c:v>
                </c:pt>
                <c:pt idx="32">
                  <c:v>-30679.898444518156</c:v>
                </c:pt>
                <c:pt idx="33">
                  <c:v>-27774.969664826465</c:v>
                </c:pt>
                <c:pt idx="34">
                  <c:v>-24165.818122944329</c:v>
                </c:pt>
                <c:pt idx="35">
                  <c:v>-19770.581504079513</c:v>
                </c:pt>
                <c:pt idx="36">
                  <c:v>-14499.867885217536</c:v>
                </c:pt>
                <c:pt idx="37">
                  <c:v>-8256.1100515326252</c:v>
                </c:pt>
                <c:pt idx="38">
                  <c:v>-932.86729021708015</c:v>
                </c:pt>
                <c:pt idx="39">
                  <c:v>7955.9125031221192</c:v>
                </c:pt>
                <c:pt idx="40">
                  <c:v>19160.470802492695</c:v>
                </c:pt>
                <c:pt idx="41">
                  <c:v>31940.873670342611</c:v>
                </c:pt>
                <c:pt idx="42">
                  <c:v>46454.816591473878</c:v>
                </c:pt>
                <c:pt idx="43">
                  <c:v>62873.922046181164</c:v>
                </c:pt>
                <c:pt idx="44">
                  <c:v>81384.893952006008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C00000"/>
                  </a:solidFill>
                  <a:ln>
                    <a:noFill/>
                  </a:ln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0-011A-41D8-AAF1-5757461BB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9950655"/>
        <c:axId val="1149951615"/>
      </c:barChart>
      <c:catAx>
        <c:axId val="114995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r>
                  <a:rPr lang="de-DE"/>
                  <a:t>Laufzeit der Thesaurierung in Jahren</a:t>
                </a:r>
              </a:p>
            </c:rich>
          </c:tx>
          <c:layout>
            <c:manualLayout>
              <c:xMode val="edge"/>
              <c:yMode val="edge"/>
              <c:x val="0.40616060402722409"/>
              <c:y val="0.947687103174603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Roboto" panose="02000000000000000000" pitchFamily="2" charset="0"/>
                  <a:ea typeface="Roboto" panose="02000000000000000000" pitchFamily="2" charset="0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de-DE"/>
          </a:p>
        </c:txPr>
        <c:crossAx val="1149951615"/>
        <c:crossesAt val="0"/>
        <c:auto val="1"/>
        <c:lblAlgn val="ctr"/>
        <c:lblOffset val="100"/>
        <c:noMultiLvlLbl val="0"/>
      </c:catAx>
      <c:valAx>
        <c:axId val="1149951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r>
                  <a:rPr lang="de-DE"/>
                  <a:t>Differenz</a:t>
                </a:r>
                <a:r>
                  <a:rPr lang="de-DE" baseline="0"/>
                  <a:t> der Privatvermögen zum Ende der Thesaurierung </a:t>
                </a:r>
                <a:endParaRPr lang="de-DE"/>
              </a:p>
            </c:rich>
          </c:tx>
          <c:layout>
            <c:manualLayout>
              <c:xMode val="edge"/>
              <c:yMode val="edge"/>
              <c:x val="5.6184907213704515E-3"/>
              <c:y val="0.15152480158730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Roboto" panose="02000000000000000000" pitchFamily="2" charset="0"/>
                  <a:ea typeface="Roboto" panose="02000000000000000000" pitchFamily="2" charset="0"/>
                  <a:cs typeface="+mn-cs"/>
                </a:defRPr>
              </a:pPr>
              <a:endParaRPr lang="de-DE"/>
            </a:p>
          </c:txPr>
        </c:title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de-DE"/>
          </a:p>
        </c:txPr>
        <c:crossAx val="114995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Roboto" panose="02000000000000000000" pitchFamily="2" charset="0"/>
          <a:ea typeface="Roboto" panose="02000000000000000000" pitchFamily="2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r>
              <a:rPr lang="de-DE"/>
              <a:t>Amortisationsdauer der GmbH gegenüber dem Einzelunternehmer</a:t>
            </a:r>
          </a:p>
          <a:p>
            <a:pPr>
              <a:defRPr/>
            </a:pPr>
            <a:r>
              <a:rPr lang="de-DE"/>
              <a:t>in Abhängigkeit vom Startkapital.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'III. Aktiengewinne thesaurieren'!$S$40</c:f>
              <c:strCache>
                <c:ptCount val="1"/>
                <c:pt idx="0">
                  <c:v>40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'III. Aktiengewinne thesaurieren'!$R$41:$R$86</c:f>
              <c:numCache>
                <c:formatCode>#,##0\ "€"</c:formatCode>
                <c:ptCount val="46"/>
                <c:pt idx="0">
                  <c:v>25000</c:v>
                </c:pt>
                <c:pt idx="1">
                  <c:v>50000</c:v>
                </c:pt>
                <c:pt idx="2">
                  <c:v>75000</c:v>
                </c:pt>
                <c:pt idx="3">
                  <c:v>100000</c:v>
                </c:pt>
                <c:pt idx="4">
                  <c:v>125000</c:v>
                </c:pt>
                <c:pt idx="5">
                  <c:v>150000</c:v>
                </c:pt>
                <c:pt idx="6">
                  <c:v>175000</c:v>
                </c:pt>
                <c:pt idx="7">
                  <c:v>200000</c:v>
                </c:pt>
                <c:pt idx="8">
                  <c:v>225000</c:v>
                </c:pt>
                <c:pt idx="9">
                  <c:v>250000</c:v>
                </c:pt>
                <c:pt idx="10">
                  <c:v>275000</c:v>
                </c:pt>
                <c:pt idx="11">
                  <c:v>300000</c:v>
                </c:pt>
                <c:pt idx="12">
                  <c:v>325000</c:v>
                </c:pt>
                <c:pt idx="13">
                  <c:v>350000</c:v>
                </c:pt>
                <c:pt idx="14">
                  <c:v>375000</c:v>
                </c:pt>
                <c:pt idx="15">
                  <c:v>400000</c:v>
                </c:pt>
                <c:pt idx="16">
                  <c:v>425000</c:v>
                </c:pt>
                <c:pt idx="17">
                  <c:v>450000</c:v>
                </c:pt>
                <c:pt idx="18">
                  <c:v>475000</c:v>
                </c:pt>
                <c:pt idx="19">
                  <c:v>500000</c:v>
                </c:pt>
                <c:pt idx="20">
                  <c:v>525000</c:v>
                </c:pt>
                <c:pt idx="21">
                  <c:v>550000</c:v>
                </c:pt>
                <c:pt idx="22">
                  <c:v>575000</c:v>
                </c:pt>
                <c:pt idx="23">
                  <c:v>600000</c:v>
                </c:pt>
                <c:pt idx="24">
                  <c:v>625000</c:v>
                </c:pt>
                <c:pt idx="25">
                  <c:v>650000</c:v>
                </c:pt>
                <c:pt idx="26">
                  <c:v>675000</c:v>
                </c:pt>
                <c:pt idx="27">
                  <c:v>700000</c:v>
                </c:pt>
                <c:pt idx="28">
                  <c:v>725000</c:v>
                </c:pt>
                <c:pt idx="29">
                  <c:v>750000</c:v>
                </c:pt>
                <c:pt idx="30">
                  <c:v>775000</c:v>
                </c:pt>
                <c:pt idx="31">
                  <c:v>800000</c:v>
                </c:pt>
                <c:pt idx="32">
                  <c:v>825000</c:v>
                </c:pt>
                <c:pt idx="33">
                  <c:v>850000</c:v>
                </c:pt>
                <c:pt idx="34">
                  <c:v>875000</c:v>
                </c:pt>
                <c:pt idx="35">
                  <c:v>900000</c:v>
                </c:pt>
                <c:pt idx="36">
                  <c:v>925000</c:v>
                </c:pt>
                <c:pt idx="37">
                  <c:v>950000</c:v>
                </c:pt>
                <c:pt idx="38">
                  <c:v>975000</c:v>
                </c:pt>
                <c:pt idx="39">
                  <c:v>1000000</c:v>
                </c:pt>
                <c:pt idx="40">
                  <c:v>1025000</c:v>
                </c:pt>
                <c:pt idx="41">
                  <c:v>1050000</c:v>
                </c:pt>
                <c:pt idx="42">
                  <c:v>1075000</c:v>
                </c:pt>
                <c:pt idx="43">
                  <c:v>1100000</c:v>
                </c:pt>
                <c:pt idx="44">
                  <c:v>1125000</c:v>
                </c:pt>
                <c:pt idx="45">
                  <c:v>1150000</c:v>
                </c:pt>
              </c:numCache>
            </c:numRef>
          </c:xVal>
          <c:yVal>
            <c:numRef>
              <c:f>'III. Aktiengewinne thesaurieren'!$S$41:$S$86</c:f>
              <c:numCache>
                <c:formatCode>General</c:formatCode>
                <c:ptCount val="46"/>
                <c:pt idx="0">
                  <c:v>#N/A</c:v>
                </c:pt>
                <c:pt idx="1">
                  <c:v>#N/A</c:v>
                </c:pt>
                <c:pt idx="2">
                  <c:v>42</c:v>
                </c:pt>
                <c:pt idx="3">
                  <c:v>32</c:v>
                </c:pt>
                <c:pt idx="4">
                  <c:v>26</c:v>
                </c:pt>
                <c:pt idx="5">
                  <c:v>22</c:v>
                </c:pt>
                <c:pt idx="6">
                  <c:v>19</c:v>
                </c:pt>
                <c:pt idx="7">
                  <c:v>17</c:v>
                </c:pt>
                <c:pt idx="8">
                  <c:v>15</c:v>
                </c:pt>
                <c:pt idx="9">
                  <c:v>14</c:v>
                </c:pt>
                <c:pt idx="10">
                  <c:v>13</c:v>
                </c:pt>
                <c:pt idx="11">
                  <c:v>12</c:v>
                </c:pt>
                <c:pt idx="12">
                  <c:v>11</c:v>
                </c:pt>
                <c:pt idx="13">
                  <c:v>11</c:v>
                </c:pt>
                <c:pt idx="14">
                  <c:v>10</c:v>
                </c:pt>
                <c:pt idx="15">
                  <c:v>10</c:v>
                </c:pt>
                <c:pt idx="16">
                  <c:v>9</c:v>
                </c:pt>
                <c:pt idx="17">
                  <c:v>9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6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8A-4955-B44F-3583CF857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0197855"/>
        <c:axId val="710198815"/>
      </c:scatterChart>
      <c:valAx>
        <c:axId val="710197855"/>
        <c:scaling>
          <c:orientation val="minMax"/>
          <c:max val="110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r>
                  <a:rPr lang="de-DE"/>
                  <a:t>Startkapital</a:t>
                </a:r>
              </a:p>
            </c:rich>
          </c:tx>
          <c:layout>
            <c:manualLayout>
              <c:xMode val="edge"/>
              <c:yMode val="edge"/>
              <c:x val="0.46554038375725126"/>
              <c:y val="0.9430515873015873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Roboto" panose="02000000000000000000" pitchFamily="2" charset="0"/>
                  <a:ea typeface="Roboto" panose="02000000000000000000" pitchFamily="2" charset="0"/>
                  <a:cs typeface="+mn-cs"/>
                </a:defRPr>
              </a:pPr>
              <a:endParaRPr lang="de-DE"/>
            </a:p>
          </c:txPr>
        </c:title>
        <c:numFmt formatCode="#,##0\ &quot;€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de-DE"/>
          </a:p>
        </c:txPr>
        <c:crossAx val="710198815"/>
        <c:crosses val="autoZero"/>
        <c:crossBetween val="midCat"/>
      </c:valAx>
      <c:valAx>
        <c:axId val="710198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r>
                  <a:rPr lang="de-DE"/>
                  <a:t>Amortisationsdauer in Jahren</a:t>
                </a:r>
              </a:p>
            </c:rich>
          </c:tx>
          <c:layout>
            <c:manualLayout>
              <c:xMode val="edge"/>
              <c:yMode val="edge"/>
              <c:x val="7.0838911200356985E-3"/>
              <c:y val="0.26698611111111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Roboto" panose="02000000000000000000" pitchFamily="2" charset="0"/>
                  <a:ea typeface="Roboto" panose="02000000000000000000" pitchFamily="2" charset="0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de-DE"/>
          </a:p>
        </c:txPr>
        <c:crossAx val="7101978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latin typeface="Roboto" panose="02000000000000000000" pitchFamily="2" charset="0"/>
          <a:ea typeface="Roboto" panose="02000000000000000000" pitchFamily="2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627916</xdr:colOff>
      <xdr:row>0</xdr:row>
      <xdr:rowOff>115396</xdr:rowOff>
    </xdr:from>
    <xdr:to>
      <xdr:col>26</xdr:col>
      <xdr:colOff>447916</xdr:colOff>
      <xdr:row>22</xdr:row>
      <xdr:rowOff>21421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CF999A5-0CD8-07D3-806B-DAF881C1DD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249116</xdr:colOff>
      <xdr:row>7</xdr:row>
      <xdr:rowOff>36634</xdr:rowOff>
    </xdr:from>
    <xdr:to>
      <xdr:col>17</xdr:col>
      <xdr:colOff>249116</xdr:colOff>
      <xdr:row>15</xdr:row>
      <xdr:rowOff>175846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FBB7775F-9A68-F110-E4A9-B78C9C7EAC61}"/>
            </a:ext>
          </a:extLst>
        </xdr:cNvPr>
        <xdr:cNvCxnSpPr/>
      </xdr:nvCxnSpPr>
      <xdr:spPr>
        <a:xfrm>
          <a:off x="13752635" y="1765788"/>
          <a:ext cx="0" cy="2124808"/>
        </a:xfrm>
        <a:prstGeom prst="straightConnector1">
          <a:avLst/>
        </a:prstGeom>
        <a:ln w="12700">
          <a:headEnd type="triangle"/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207605</xdr:colOff>
      <xdr:row>10</xdr:row>
      <xdr:rowOff>152526</xdr:rowOff>
    </xdr:from>
    <xdr:to>
      <xdr:col>18</xdr:col>
      <xdr:colOff>405432</xdr:colOff>
      <xdr:row>13</xdr:row>
      <xdr:rowOff>44089</xdr:rowOff>
    </xdr:to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18D1FB6F-A94E-C2F8-32DA-1A072C52425D}"/>
            </a:ext>
          </a:extLst>
        </xdr:cNvPr>
        <xdr:cNvSpPr txBox="1"/>
      </xdr:nvSpPr>
      <xdr:spPr>
        <a:xfrm>
          <a:off x="13711124" y="2629026"/>
          <a:ext cx="959827" cy="6315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de-DE" sz="1100">
              <a:solidFill>
                <a:schemeClr val="accent2"/>
              </a:solidFill>
            </a:rPr>
            <a:t>Spanne der</a:t>
          </a:r>
          <a:br>
            <a:rPr lang="de-DE" sz="1100">
              <a:solidFill>
                <a:schemeClr val="accent2"/>
              </a:solidFill>
            </a:rPr>
          </a:br>
          <a:r>
            <a:rPr lang="de-DE" sz="1100">
              <a:solidFill>
                <a:schemeClr val="accent2"/>
              </a:solidFill>
            </a:rPr>
            <a:t>Zusatzkosten </a:t>
          </a:r>
        </a:p>
        <a:p>
          <a:pPr algn="l"/>
          <a:r>
            <a:rPr lang="de-DE" sz="1100">
              <a:solidFill>
                <a:schemeClr val="accent2"/>
              </a:solidFill>
            </a:rPr>
            <a:t>der GmbH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314952</xdr:colOff>
      <xdr:row>1</xdr:row>
      <xdr:rowOff>197039</xdr:rowOff>
    </xdr:from>
    <xdr:to>
      <xdr:col>25</xdr:col>
      <xdr:colOff>134952</xdr:colOff>
      <xdr:row>23</xdr:row>
      <xdr:rowOff>141164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DA5C59-2032-4550-A5BB-C3514BDB51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182639</xdr:colOff>
      <xdr:row>38</xdr:row>
      <xdr:rowOff>465</xdr:rowOff>
    </xdr:from>
    <xdr:to>
      <xdr:col>10</xdr:col>
      <xdr:colOff>341218</xdr:colOff>
      <xdr:row>64</xdr:row>
      <xdr:rowOff>87465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390E076-0BA8-71E8-52F4-3DC16D396B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255333</xdr:colOff>
      <xdr:row>39</xdr:row>
      <xdr:rowOff>121782</xdr:rowOff>
    </xdr:from>
    <xdr:to>
      <xdr:col>30</xdr:col>
      <xdr:colOff>581999</xdr:colOff>
      <xdr:row>66</xdr:row>
      <xdr:rowOff>18282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1517E02A-D958-7278-E451-B25703B296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5A391-5769-44EF-9679-7F1ED6D4C025}">
  <dimension ref="A1:N19"/>
  <sheetViews>
    <sheetView showGridLines="0" zoomScale="85" zoomScaleNormal="85" workbookViewId="0">
      <selection activeCell="F29" sqref="F29"/>
    </sheetView>
  </sheetViews>
  <sheetFormatPr baseColWidth="10" defaultRowHeight="15" x14ac:dyDescent="0.25"/>
  <cols>
    <col min="1" max="1" width="2.85546875" style="2" bestFit="1" customWidth="1"/>
    <col min="2" max="2" width="32.140625" style="2" customWidth="1"/>
    <col min="3" max="3" width="10.140625" style="2" customWidth="1"/>
    <col min="4" max="4" width="2.28515625" style="2" customWidth="1"/>
    <col min="5" max="5" width="2.85546875" style="2" customWidth="1"/>
    <col min="6" max="6" width="32.85546875" style="2" customWidth="1"/>
    <col min="7" max="7" width="9.7109375" style="2" bestFit="1" customWidth="1"/>
    <col min="8" max="8" width="10.42578125" style="2" bestFit="1" customWidth="1"/>
    <col min="9" max="9" width="7.5703125" style="2" customWidth="1"/>
    <col min="10" max="10" width="3.7109375" style="2" bestFit="1" customWidth="1"/>
    <col min="11" max="11" width="11.5703125" style="2" bestFit="1" customWidth="1"/>
    <col min="12" max="12" width="10.140625" style="2" bestFit="1" customWidth="1"/>
    <col min="13" max="13" width="22.7109375" style="2" bestFit="1" customWidth="1"/>
    <col min="14" max="14" width="18.7109375" style="2" bestFit="1" customWidth="1"/>
    <col min="15" max="16384" width="11.42578125" style="2"/>
  </cols>
  <sheetData>
    <row r="1" spans="1:14" ht="19.5" customHeight="1" x14ac:dyDescent="0.3">
      <c r="A1" s="54" t="s">
        <v>22</v>
      </c>
      <c r="B1" s="54"/>
      <c r="C1" s="54"/>
      <c r="D1" s="54"/>
      <c r="E1" s="54"/>
      <c r="F1" s="54"/>
      <c r="G1" s="54"/>
      <c r="H1" s="54"/>
      <c r="J1" s="54" t="s">
        <v>17</v>
      </c>
      <c r="K1" s="54"/>
      <c r="L1" s="54"/>
      <c r="M1" s="54"/>
      <c r="N1" s="54"/>
    </row>
    <row r="2" spans="1:14" ht="19.5" customHeight="1" x14ac:dyDescent="0.3">
      <c r="A2" s="54" t="s">
        <v>7</v>
      </c>
      <c r="B2" s="54"/>
      <c r="C2" s="54"/>
      <c r="E2" s="54" t="s">
        <v>13</v>
      </c>
      <c r="F2" s="54"/>
      <c r="G2" s="54"/>
      <c r="H2" s="54"/>
      <c r="L2" s="40">
        <f>H14-C14</f>
        <v>145.60267173120519</v>
      </c>
      <c r="M2" s="2" t="s">
        <v>23</v>
      </c>
      <c r="N2" s="2" t="s">
        <v>24</v>
      </c>
    </row>
    <row r="3" spans="1:14" ht="19.5" customHeight="1" x14ac:dyDescent="0.25">
      <c r="B3" s="2" t="s">
        <v>3</v>
      </c>
      <c r="C3" s="22">
        <v>50000</v>
      </c>
      <c r="F3" s="2" t="s">
        <v>3</v>
      </c>
      <c r="G3" s="22"/>
      <c r="H3" s="26">
        <f>C3</f>
        <v>50000</v>
      </c>
      <c r="J3" s="62" t="s">
        <v>3</v>
      </c>
      <c r="K3" s="3">
        <v>0</v>
      </c>
      <c r="L3" s="41">
        <f t="dataTable" ref="L3:L19" dt2D="0" dtr="0" r1="C3"/>
        <v>0</v>
      </c>
      <c r="M3" s="4">
        <v>3000</v>
      </c>
      <c r="N3" s="4">
        <v>12000</v>
      </c>
    </row>
    <row r="4" spans="1:14" ht="19.5" customHeight="1" x14ac:dyDescent="0.25">
      <c r="A4" s="5"/>
      <c r="B4" s="5"/>
      <c r="C4" s="23"/>
      <c r="E4" s="2" t="s">
        <v>6</v>
      </c>
      <c r="F4" s="6" t="s">
        <v>10</v>
      </c>
      <c r="G4" s="22"/>
      <c r="H4" s="22">
        <f>MAX(-46364,-H3)</f>
        <v>-46364</v>
      </c>
      <c r="J4" s="63"/>
      <c r="K4" s="7">
        <v>10000</v>
      </c>
      <c r="L4" s="42">
        <v>0</v>
      </c>
      <c r="M4" s="8">
        <v>3000</v>
      </c>
      <c r="N4" s="8">
        <v>12000</v>
      </c>
    </row>
    <row r="5" spans="1:14" ht="19.5" customHeight="1" x14ac:dyDescent="0.25">
      <c r="C5" s="22"/>
      <c r="F5" s="34" t="s">
        <v>9</v>
      </c>
      <c r="G5" s="35">
        <f>-H4+G6+G7</f>
        <v>36939.0465206976</v>
      </c>
      <c r="H5" s="22"/>
      <c r="J5" s="63"/>
      <c r="K5" s="7">
        <f t="shared" ref="K5:K19" si="0">K4+10000</f>
        <v>20000</v>
      </c>
      <c r="L5" s="42">
        <v>0</v>
      </c>
      <c r="M5" s="8">
        <v>3000</v>
      </c>
      <c r="N5" s="8">
        <v>12000</v>
      </c>
    </row>
    <row r="6" spans="1:14" ht="18.75" customHeight="1" x14ac:dyDescent="0.25">
      <c r="C6" s="22"/>
      <c r="F6" s="10" t="s">
        <v>4</v>
      </c>
      <c r="G6" s="26">
        <f>-IF((-H4)&lt;=12096,0,
IF((-H4)&lt;=17443,(932.3*((-H4)-12096)/10000+1400)*((-H4)-12096)/10000,
IF((-H4)&lt;=68480,(176.64*((-H4)-17443)/10000+2397)*((-H4)-17443)/10000+1015.13,
IF((-H4)&lt;=277826,(0.42*(-H4)-10911.92),0.45*(-H4)-19246.67))))</f>
        <v>-9424.9534793023995</v>
      </c>
      <c r="H6" s="22"/>
      <c r="J6" s="63"/>
      <c r="K6" s="7">
        <f t="shared" si="0"/>
        <v>30000</v>
      </c>
      <c r="L6" s="42">
        <v>0</v>
      </c>
      <c r="M6" s="8">
        <v>3000</v>
      </c>
      <c r="N6" s="8">
        <v>12000</v>
      </c>
    </row>
    <row r="7" spans="1:14" ht="18.75" customHeight="1" x14ac:dyDescent="0.25">
      <c r="C7" s="22"/>
      <c r="E7" s="5"/>
      <c r="F7" s="33" t="s">
        <v>18</v>
      </c>
      <c r="G7" s="27">
        <f>IF(G6&lt;-19950,MAX(11.9%*(G6+19950),5.5%*G6),0)</f>
        <v>0</v>
      </c>
      <c r="H7" s="23"/>
      <c r="J7" s="63"/>
      <c r="K7" s="7">
        <f t="shared" si="0"/>
        <v>40000</v>
      </c>
      <c r="L7" s="42">
        <v>0</v>
      </c>
      <c r="M7" s="8">
        <v>3000</v>
      </c>
      <c r="N7" s="8">
        <v>12000</v>
      </c>
    </row>
    <row r="8" spans="1:14" ht="19.5" customHeight="1" x14ac:dyDescent="0.25">
      <c r="A8" s="9" t="s">
        <v>1</v>
      </c>
      <c r="B8" s="9" t="s">
        <v>0</v>
      </c>
      <c r="C8" s="24">
        <f>SUM(C3:C7)</f>
        <v>50000</v>
      </c>
      <c r="E8" s="9" t="s">
        <v>1</v>
      </c>
      <c r="F8" s="9" t="s">
        <v>0</v>
      </c>
      <c r="G8" s="24"/>
      <c r="H8" s="24">
        <f>SUM(H3:H4)</f>
        <v>3636</v>
      </c>
      <c r="J8" s="63"/>
      <c r="K8" s="7">
        <f t="shared" si="0"/>
        <v>50000</v>
      </c>
      <c r="L8" s="42">
        <v>145.60267173120519</v>
      </c>
      <c r="M8" s="8">
        <v>3000</v>
      </c>
      <c r="N8" s="8">
        <v>12000</v>
      </c>
    </row>
    <row r="9" spans="1:14" ht="19.5" customHeight="1" x14ac:dyDescent="0.25">
      <c r="A9" s="2" t="s">
        <v>6</v>
      </c>
      <c r="B9" s="11" t="s">
        <v>2</v>
      </c>
      <c r="C9" s="26">
        <f>-(IF(C3&lt;=12096,0,
IF(C3&lt;=17443,(932.3*(C3-12096)/10000+1400)*(C3-12096)/10000,
IF(C3&lt;=68480,(176.64*(C3-17443)/10000+2397)*(C3-17443)/10000+1015.13,
IF(C3&lt;=277826,(0.42*C3-10911.92),0.45*C3-19246.67)))))</f>
        <v>-10691.3531510336</v>
      </c>
      <c r="E9" s="2" t="s">
        <v>6</v>
      </c>
      <c r="F9" s="2" t="s">
        <v>20</v>
      </c>
      <c r="G9" s="22"/>
      <c r="H9" s="22">
        <f>-H8*0.15</f>
        <v>-545.4</v>
      </c>
      <c r="J9" s="63"/>
      <c r="K9" s="7">
        <f t="shared" si="0"/>
        <v>60000</v>
      </c>
      <c r="L9" s="42">
        <v>786.91636773120263</v>
      </c>
      <c r="M9" s="8">
        <v>3000</v>
      </c>
      <c r="N9" s="8">
        <v>12000</v>
      </c>
    </row>
    <row r="10" spans="1:14" ht="19.5" customHeight="1" x14ac:dyDescent="0.25">
      <c r="C10" s="22"/>
      <c r="E10" s="2" t="s">
        <v>6</v>
      </c>
      <c r="F10" s="2" t="s">
        <v>19</v>
      </c>
      <c r="G10" s="22"/>
      <c r="H10" s="22">
        <f>-H8*0.15</f>
        <v>-545.4</v>
      </c>
      <c r="J10" s="63"/>
      <c r="K10" s="7">
        <f t="shared" si="0"/>
        <v>70000</v>
      </c>
      <c r="L10" s="42">
        <v>1777.3295206976036</v>
      </c>
      <c r="M10" s="8">
        <v>3000</v>
      </c>
      <c r="N10" s="8">
        <v>12000</v>
      </c>
    </row>
    <row r="11" spans="1:14" ht="18.75" customHeight="1" x14ac:dyDescent="0.25">
      <c r="A11" s="2" t="s">
        <v>6</v>
      </c>
      <c r="B11" s="12" t="s">
        <v>18</v>
      </c>
      <c r="C11" s="26">
        <f>IF(C9&lt;-19950,MAX(11.9%*(C9+19950),5.5%*C9),0)</f>
        <v>0</v>
      </c>
      <c r="E11" s="2" t="s">
        <v>6</v>
      </c>
      <c r="F11" s="2" t="s">
        <v>21</v>
      </c>
      <c r="G11" s="22"/>
      <c r="H11" s="22">
        <f>H10*5.5%</f>
        <v>-29.997</v>
      </c>
      <c r="J11" s="63"/>
      <c r="K11" s="7">
        <f t="shared" si="0"/>
        <v>80000</v>
      </c>
      <c r="L11" s="42">
        <v>3220.6610406976033</v>
      </c>
      <c r="M11" s="8">
        <v>3000</v>
      </c>
      <c r="N11" s="8">
        <v>12000</v>
      </c>
    </row>
    <row r="12" spans="1:14" ht="19.5" customHeight="1" x14ac:dyDescent="0.25">
      <c r="A12" s="9" t="s">
        <v>1</v>
      </c>
      <c r="B12" s="13" t="s">
        <v>8</v>
      </c>
      <c r="C12" s="28">
        <f>C3+C9+C11</f>
        <v>39308.646848966397</v>
      </c>
      <c r="E12" s="9" t="s">
        <v>1</v>
      </c>
      <c r="F12" s="9" t="s">
        <v>8</v>
      </c>
      <c r="G12" s="24"/>
      <c r="H12" s="24">
        <f>SUM(H8:H11)</f>
        <v>2515.203</v>
      </c>
      <c r="J12" s="63"/>
      <c r="K12" s="7">
        <f t="shared" si="0"/>
        <v>90000</v>
      </c>
      <c r="L12" s="42">
        <v>4837.9610406976062</v>
      </c>
      <c r="M12" s="8">
        <v>3000</v>
      </c>
      <c r="N12" s="8">
        <v>12000</v>
      </c>
    </row>
    <row r="13" spans="1:14" ht="19.5" customHeight="1" x14ac:dyDescent="0.25">
      <c r="C13" s="22"/>
      <c r="E13" s="2" t="s">
        <v>11</v>
      </c>
      <c r="F13" s="2" t="s">
        <v>9</v>
      </c>
      <c r="G13" s="22"/>
      <c r="H13" s="22">
        <f>G5</f>
        <v>36939.0465206976</v>
      </c>
      <c r="J13" s="63"/>
      <c r="K13" s="7">
        <f t="shared" si="0"/>
        <v>100000</v>
      </c>
      <c r="L13" s="42">
        <v>6455.2610406976019</v>
      </c>
      <c r="M13" s="8">
        <v>3000</v>
      </c>
      <c r="N13" s="8">
        <v>12000</v>
      </c>
    </row>
    <row r="14" spans="1:14" ht="19.5" customHeight="1" thickBot="1" x14ac:dyDescent="0.3">
      <c r="A14" s="2" t="s">
        <v>1</v>
      </c>
      <c r="B14" s="2" t="s">
        <v>12</v>
      </c>
      <c r="C14" s="32">
        <f>C12</f>
        <v>39308.646848966397</v>
      </c>
      <c r="E14" s="2" t="s">
        <v>1</v>
      </c>
      <c r="F14" s="2" t="s">
        <v>12</v>
      </c>
      <c r="G14" s="22"/>
      <c r="H14" s="32">
        <f>H12+H13</f>
        <v>39454.249520697602</v>
      </c>
      <c r="J14" s="63"/>
      <c r="K14" s="7">
        <f t="shared" si="0"/>
        <v>110000</v>
      </c>
      <c r="L14" s="42">
        <v>8072.5610406976048</v>
      </c>
      <c r="M14" s="8">
        <v>3000</v>
      </c>
      <c r="N14" s="8">
        <v>12000</v>
      </c>
    </row>
    <row r="15" spans="1:14" ht="19.5" customHeight="1" thickTop="1" x14ac:dyDescent="0.25">
      <c r="J15" s="63"/>
      <c r="K15" s="7">
        <f t="shared" si="0"/>
        <v>120000</v>
      </c>
      <c r="L15" s="42">
        <v>9536.6739206976054</v>
      </c>
      <c r="M15" s="8">
        <v>3000</v>
      </c>
      <c r="N15" s="8">
        <v>12000</v>
      </c>
    </row>
    <row r="16" spans="1:14" ht="19.5" customHeight="1" x14ac:dyDescent="0.3">
      <c r="A16" s="55" t="str">
        <f>"Differenz: "&amp;TEXT(H14-C14,"0.0 €")</f>
        <v>Differenz: 146 €</v>
      </c>
      <c r="B16" s="55"/>
      <c r="C16" s="55"/>
      <c r="D16" s="55"/>
      <c r="E16" s="55"/>
      <c r="F16" s="55"/>
      <c r="G16" s="55"/>
      <c r="H16" s="55"/>
      <c r="J16" s="63"/>
      <c r="K16" s="7">
        <f t="shared" si="0"/>
        <v>130000</v>
      </c>
      <c r="L16" s="42">
        <v>10885.173920697605</v>
      </c>
      <c r="M16" s="8">
        <v>3000</v>
      </c>
      <c r="N16" s="8">
        <v>12000</v>
      </c>
    </row>
    <row r="17" spans="3:14" ht="19.5" customHeight="1" x14ac:dyDescent="0.25">
      <c r="C17" s="14" t="s">
        <v>15</v>
      </c>
      <c r="F17" s="2" t="s">
        <v>14</v>
      </c>
      <c r="J17" s="63"/>
      <c r="K17" s="7">
        <f t="shared" si="0"/>
        <v>140000</v>
      </c>
      <c r="L17" s="42">
        <v>12233.673920697605</v>
      </c>
      <c r="M17" s="8">
        <v>3000</v>
      </c>
      <c r="N17" s="8">
        <v>12000</v>
      </c>
    </row>
    <row r="18" spans="3:14" x14ac:dyDescent="0.25">
      <c r="J18" s="63"/>
      <c r="K18" s="7">
        <f t="shared" si="0"/>
        <v>150000</v>
      </c>
      <c r="L18" s="42">
        <v>13582.173920697605</v>
      </c>
      <c r="M18" s="8">
        <v>3000</v>
      </c>
      <c r="N18" s="8">
        <v>12000</v>
      </c>
    </row>
    <row r="19" spans="3:14" x14ac:dyDescent="0.25">
      <c r="J19" s="63"/>
      <c r="K19" s="7">
        <f t="shared" si="0"/>
        <v>160000</v>
      </c>
      <c r="L19" s="42">
        <v>14930.673920697605</v>
      </c>
      <c r="M19" s="8">
        <v>3000</v>
      </c>
      <c r="N19" s="8">
        <v>12000</v>
      </c>
    </row>
  </sheetData>
  <mergeCells count="6">
    <mergeCell ref="A1:H1"/>
    <mergeCell ref="J3:J19"/>
    <mergeCell ref="A2:C2"/>
    <mergeCell ref="A16:H16"/>
    <mergeCell ref="E2:H2"/>
    <mergeCell ref="J1:N1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A949E-8695-4D62-9C46-2EBB4B76DFEF}">
  <dimension ref="A1:M28"/>
  <sheetViews>
    <sheetView showGridLines="0" tabSelected="1" zoomScale="85" zoomScaleNormal="85" workbookViewId="0">
      <selection activeCell="G26" sqref="G26"/>
    </sheetView>
  </sheetViews>
  <sheetFormatPr baseColWidth="10" defaultRowHeight="15" x14ac:dyDescent="0.25"/>
  <cols>
    <col min="1" max="1" width="2.85546875" style="2" bestFit="1" customWidth="1"/>
    <col min="2" max="2" width="33" style="2" bestFit="1" customWidth="1"/>
    <col min="3" max="3" width="10.140625" style="2" bestFit="1" customWidth="1"/>
    <col min="4" max="4" width="12" style="2" bestFit="1" customWidth="1"/>
    <col min="5" max="5" width="2.28515625" style="2" customWidth="1"/>
    <col min="6" max="6" width="2.85546875" style="2" customWidth="1"/>
    <col min="7" max="7" width="36.28515625" style="2" customWidth="1"/>
    <col min="8" max="8" width="10.85546875" style="2" bestFit="1" customWidth="1"/>
    <col min="9" max="9" width="12" style="2" bestFit="1" customWidth="1"/>
    <col min="10" max="10" width="7.5703125" style="2" customWidth="1"/>
    <col min="11" max="11" width="3.7109375" style="2" bestFit="1" customWidth="1"/>
    <col min="12" max="12" width="25" style="2" customWidth="1"/>
    <col min="13" max="13" width="22" style="2" customWidth="1"/>
    <col min="14" max="16384" width="11.42578125" style="2"/>
  </cols>
  <sheetData>
    <row r="1" spans="1:13" ht="19.5" customHeight="1" x14ac:dyDescent="0.3">
      <c r="A1" s="54" t="s">
        <v>25</v>
      </c>
      <c r="B1" s="54"/>
      <c r="C1" s="54"/>
      <c r="D1" s="54"/>
      <c r="E1" s="54"/>
      <c r="F1" s="54"/>
      <c r="G1" s="54"/>
      <c r="H1" s="54"/>
      <c r="I1" s="54"/>
      <c r="K1" s="54" t="s">
        <v>17</v>
      </c>
      <c r="L1" s="54"/>
      <c r="M1" s="54"/>
    </row>
    <row r="2" spans="1:13" ht="19.5" customHeight="1" x14ac:dyDescent="0.3">
      <c r="A2" s="54" t="s">
        <v>7</v>
      </c>
      <c r="B2" s="54"/>
      <c r="C2" s="54"/>
      <c r="D2" s="1"/>
      <c r="F2" s="54" t="s">
        <v>13</v>
      </c>
      <c r="G2" s="54"/>
      <c r="H2" s="54"/>
      <c r="I2" s="54"/>
      <c r="L2" s="22"/>
      <c r="M2" s="37">
        <f>I18-D18</f>
        <v>-21.276474609374418</v>
      </c>
    </row>
    <row r="3" spans="1:13" ht="19.5" customHeight="1" x14ac:dyDescent="0.25">
      <c r="B3" s="2" t="s">
        <v>27</v>
      </c>
      <c r="C3" s="22"/>
      <c r="D3" s="26">
        <v>25000</v>
      </c>
      <c r="G3" s="2" t="s">
        <v>27</v>
      </c>
      <c r="H3" s="22"/>
      <c r="I3" s="26">
        <f>D3</f>
        <v>25000</v>
      </c>
      <c r="K3" s="60" t="s">
        <v>27</v>
      </c>
      <c r="L3" s="43">
        <v>25000</v>
      </c>
      <c r="M3" s="38">
        <f t="dataTable" ref="M3:M28" dt2D="0" dtr="0" r1="D3"/>
        <v>-21.276474609374418</v>
      </c>
    </row>
    <row r="4" spans="1:13" ht="19.5" customHeight="1" x14ac:dyDescent="0.25">
      <c r="A4" s="58"/>
      <c r="B4" s="58" t="s">
        <v>28</v>
      </c>
      <c r="C4" s="59"/>
      <c r="D4" s="59">
        <f>D3*7.5%</f>
        <v>1875</v>
      </c>
      <c r="E4" s="58"/>
      <c r="F4" s="58"/>
      <c r="G4" s="58" t="s">
        <v>28</v>
      </c>
      <c r="H4" s="59"/>
      <c r="I4" s="59">
        <f>I3*7.5%</f>
        <v>1875</v>
      </c>
      <c r="K4" s="61"/>
      <c r="L4" s="44">
        <f>L3+300000</f>
        <v>325000</v>
      </c>
      <c r="M4" s="39">
        <v>2302.5848541762098</v>
      </c>
    </row>
    <row r="5" spans="1:13" ht="19.5" customHeight="1" x14ac:dyDescent="0.25">
      <c r="A5" s="58" t="s">
        <v>6</v>
      </c>
      <c r="B5" s="2" t="s">
        <v>32</v>
      </c>
      <c r="C5" s="59"/>
      <c r="D5" s="22">
        <f>SUM(C7:C9)</f>
        <v>-230.78125</v>
      </c>
      <c r="F5" s="2" t="s">
        <v>6</v>
      </c>
      <c r="G5" s="2" t="s">
        <v>32</v>
      </c>
      <c r="H5" s="59"/>
      <c r="I5" s="59">
        <f>SUM(H7:H9)</f>
        <v>-28.8984375</v>
      </c>
      <c r="K5" s="61"/>
      <c r="L5" s="44">
        <f t="shared" ref="L5:L28" si="0">L4+300000</f>
        <v>625000</v>
      </c>
      <c r="M5" s="39">
        <v>3826.9161031246185</v>
      </c>
    </row>
    <row r="6" spans="1:13" ht="18.75" customHeight="1" x14ac:dyDescent="0.25">
      <c r="B6" s="20" t="s">
        <v>29</v>
      </c>
      <c r="C6" s="25">
        <f>D4-1000</f>
        <v>875</v>
      </c>
      <c r="D6" s="22"/>
      <c r="G6" s="20" t="s">
        <v>29</v>
      </c>
      <c r="H6" s="25">
        <f>I4*5%</f>
        <v>93.75</v>
      </c>
      <c r="I6" s="22"/>
      <c r="K6" s="61"/>
      <c r="L6" s="44">
        <f t="shared" si="0"/>
        <v>925000</v>
      </c>
      <c r="M6" s="39">
        <v>4871.4895741074579</v>
      </c>
    </row>
    <row r="7" spans="1:13" ht="18.75" customHeight="1" x14ac:dyDescent="0.25">
      <c r="B7" s="10" t="s">
        <v>26</v>
      </c>
      <c r="C7" s="26">
        <f>-0.25*C6</f>
        <v>-218.75</v>
      </c>
      <c r="D7" s="26"/>
      <c r="G7" s="15" t="s">
        <v>20</v>
      </c>
      <c r="H7" s="22">
        <f>-H6*0.15</f>
        <v>-14.0625</v>
      </c>
      <c r="I7" s="22"/>
      <c r="K7" s="61"/>
      <c r="L7" s="44">
        <f t="shared" si="0"/>
        <v>1225000</v>
      </c>
      <c r="M7" s="39">
        <v>5641.4554464011453</v>
      </c>
    </row>
    <row r="8" spans="1:13" ht="19.5" customHeight="1" x14ac:dyDescent="0.25">
      <c r="B8" s="15"/>
      <c r="C8" s="22"/>
      <c r="D8" s="22"/>
      <c r="G8" s="15" t="s">
        <v>19</v>
      </c>
      <c r="H8" s="22">
        <f>-H6*0.15</f>
        <v>-14.0625</v>
      </c>
      <c r="I8" s="22"/>
      <c r="K8" s="61"/>
      <c r="L8" s="44">
        <f t="shared" si="0"/>
        <v>1525000</v>
      </c>
      <c r="M8" s="39">
        <v>6000.0518316403031</v>
      </c>
    </row>
    <row r="9" spans="1:13" ht="19.5" customHeight="1" x14ac:dyDescent="0.25">
      <c r="B9" s="21" t="s">
        <v>5</v>
      </c>
      <c r="C9" s="27">
        <f>C7*5.5%</f>
        <v>-12.03125</v>
      </c>
      <c r="D9" s="26"/>
      <c r="G9" s="15" t="s">
        <v>21</v>
      </c>
      <c r="H9" s="22">
        <f>H8*5.5%</f>
        <v>-0.7734375</v>
      </c>
      <c r="I9" s="22"/>
      <c r="K9" s="61"/>
      <c r="L9" s="44">
        <f t="shared" si="0"/>
        <v>1825000</v>
      </c>
      <c r="M9" s="39">
        <v>5859.8510864155833</v>
      </c>
    </row>
    <row r="10" spans="1:13" ht="19.5" customHeight="1" x14ac:dyDescent="0.25">
      <c r="A10" s="9" t="s">
        <v>1</v>
      </c>
      <c r="B10" s="13" t="s">
        <v>8</v>
      </c>
      <c r="C10" s="22"/>
      <c r="D10" s="28">
        <f>SUM(D4:D9)</f>
        <v>1644.21875</v>
      </c>
      <c r="F10" s="9" t="s">
        <v>1</v>
      </c>
      <c r="G10" s="9" t="s">
        <v>8</v>
      </c>
      <c r="H10" s="24"/>
      <c r="I10" s="24">
        <f>SUM(I4:I9)</f>
        <v>1846.1015625</v>
      </c>
      <c r="K10" s="61"/>
      <c r="L10" s="44">
        <f t="shared" si="0"/>
        <v>2125000</v>
      </c>
      <c r="M10" s="39">
        <v>5621.4336083270609</v>
      </c>
    </row>
    <row r="11" spans="1:13" ht="18.75" customHeight="1" x14ac:dyDescent="0.25">
      <c r="C11" s="22"/>
      <c r="D11" s="22"/>
      <c r="F11" s="58" t="s">
        <v>1</v>
      </c>
      <c r="G11" s="58" t="s">
        <v>30</v>
      </c>
      <c r="H11" s="59"/>
      <c r="I11" s="59">
        <f>I10+I3</f>
        <v>26846.1015625</v>
      </c>
      <c r="K11" s="61"/>
      <c r="L11" s="44">
        <f t="shared" si="0"/>
        <v>2425000</v>
      </c>
      <c r="M11" s="39">
        <v>5336.4371099430136</v>
      </c>
    </row>
    <row r="12" spans="1:13" ht="19.5" customHeight="1" x14ac:dyDescent="0.25">
      <c r="C12" s="22"/>
      <c r="D12" s="22"/>
      <c r="F12" s="2" t="s">
        <v>6</v>
      </c>
      <c r="G12" s="2" t="s">
        <v>31</v>
      </c>
      <c r="H12" s="22"/>
      <c r="I12" s="22">
        <f>MAX(H14,H16+H17)</f>
        <v>-223.15928710937499</v>
      </c>
      <c r="K12" s="61"/>
      <c r="L12" s="44">
        <f t="shared" si="0"/>
        <v>2725000</v>
      </c>
      <c r="M12" s="39">
        <v>5310.4162645372562</v>
      </c>
    </row>
    <row r="13" spans="1:13" ht="19.5" customHeight="1" x14ac:dyDescent="0.25">
      <c r="C13" s="22"/>
      <c r="D13" s="22"/>
      <c r="G13" s="18" t="s">
        <v>34</v>
      </c>
      <c r="H13" s="30">
        <f>I11-I3-1000</f>
        <v>846.1015625</v>
      </c>
      <c r="I13" s="22"/>
      <c r="K13" s="61"/>
      <c r="L13" s="44">
        <f t="shared" si="0"/>
        <v>3025000</v>
      </c>
      <c r="M13" s="39">
        <v>5243.715927106794</v>
      </c>
    </row>
    <row r="14" spans="1:13" ht="19.5" customHeight="1" x14ac:dyDescent="0.25">
      <c r="C14" s="22"/>
      <c r="D14" s="22"/>
      <c r="G14" s="19" t="s">
        <v>33</v>
      </c>
      <c r="H14" s="31">
        <f>-H13*0.25*1.055</f>
        <v>-223.15928710937499</v>
      </c>
      <c r="I14" s="22"/>
      <c r="K14" s="61"/>
      <c r="L14" s="44">
        <f t="shared" si="0"/>
        <v>3325000</v>
      </c>
      <c r="M14" s="39">
        <v>5144.7112665204331</v>
      </c>
    </row>
    <row r="15" spans="1:13" ht="19.5" customHeight="1" x14ac:dyDescent="0.25">
      <c r="C15" s="22"/>
      <c r="D15" s="22"/>
      <c r="G15" s="15" t="s">
        <v>35</v>
      </c>
      <c r="H15" s="22">
        <f>(I11-I3)*0.6</f>
        <v>1107.6609375</v>
      </c>
      <c r="I15" s="22"/>
      <c r="K15" s="61"/>
      <c r="L15" s="44">
        <f t="shared" si="0"/>
        <v>3625000</v>
      </c>
      <c r="M15" s="39">
        <v>5019.6260370896198</v>
      </c>
    </row>
    <row r="16" spans="1:13" ht="19.5" customHeight="1" x14ac:dyDescent="0.25">
      <c r="C16" s="22"/>
      <c r="D16" s="22"/>
      <c r="G16" s="16" t="s">
        <v>2</v>
      </c>
      <c r="H16" s="22">
        <f>H15*(-(IF(46364+H15&lt;=12096,0,
IF(46364+H15&lt;=17443,(932.3*(46364+H15-12096)/10000+1400)*(46364+H15-12096)/10000,
IF(46364+H15&lt;=68480,(176.64*(46364+H15-17443)/10000+2397)*(46364+H15-17443)/10000+1015.13,
IF(46364+H15&lt;=277826,(0.42*(46364+H15)-10911.92),0.45*(46364+H15)-19246.67)))))/(46364+H15))</f>
        <v>-228.79967512739185</v>
      </c>
      <c r="I16" s="22"/>
      <c r="K16" s="61"/>
      <c r="L16" s="44">
        <f t="shared" si="0"/>
        <v>3925000</v>
      </c>
      <c r="M16" s="39">
        <v>4873.1817108602263</v>
      </c>
    </row>
    <row r="17" spans="1:13" ht="19.5" customHeight="1" x14ac:dyDescent="0.25">
      <c r="C17" s="22"/>
      <c r="D17" s="22"/>
      <c r="G17" s="17" t="s">
        <v>18</v>
      </c>
      <c r="H17" s="22">
        <f>IF(H16&lt;-19950,MAX(11.9%*(H16+19950),5.5%*H16),0)</f>
        <v>0</v>
      </c>
      <c r="I17" s="22"/>
      <c r="K17" s="61"/>
      <c r="L17" s="44">
        <f t="shared" si="0"/>
        <v>4225000</v>
      </c>
      <c r="M17" s="39">
        <v>4709.0249554347247</v>
      </c>
    </row>
    <row r="18" spans="1:13" ht="15.75" thickBot="1" x14ac:dyDescent="0.3">
      <c r="A18" s="9" t="s">
        <v>1</v>
      </c>
      <c r="B18" s="9" t="s">
        <v>37</v>
      </c>
      <c r="C18" s="24"/>
      <c r="D18" s="29">
        <f>D10+D3</f>
        <v>26644.21875</v>
      </c>
      <c r="F18" s="9" t="s">
        <v>1</v>
      </c>
      <c r="G18" s="9" t="s">
        <v>37</v>
      </c>
      <c r="H18" s="24"/>
      <c r="I18" s="29">
        <f>SUM(I11:I12)</f>
        <v>26622.942275390626</v>
      </c>
      <c r="K18" s="61"/>
      <c r="L18" s="44">
        <f t="shared" si="0"/>
        <v>4525000</v>
      </c>
      <c r="M18" s="39">
        <v>4530.0170038361102</v>
      </c>
    </row>
    <row r="19" spans="1:13" ht="15.75" thickTop="1" x14ac:dyDescent="0.25">
      <c r="K19" s="61"/>
      <c r="L19" s="44">
        <f t="shared" si="0"/>
        <v>4825000</v>
      </c>
      <c r="M19" s="39">
        <v>4338.4343126090243</v>
      </c>
    </row>
    <row r="20" spans="1:13" ht="20.25" x14ac:dyDescent="0.3">
      <c r="A20" s="55" t="str">
        <f>"Differenz: "&amp;TEXT(I18-D18,"0.0 €")</f>
        <v>Differenz: -21 €</v>
      </c>
      <c r="B20" s="55"/>
      <c r="C20" s="55"/>
      <c r="D20" s="55"/>
      <c r="E20" s="55"/>
      <c r="F20" s="55"/>
      <c r="G20" s="55"/>
      <c r="H20" s="55"/>
      <c r="I20" s="55"/>
      <c r="L20" s="44">
        <f t="shared" si="0"/>
        <v>5125000</v>
      </c>
      <c r="M20" s="22">
        <v>4136.1106947436929</v>
      </c>
    </row>
    <row r="21" spans="1:13" x14ac:dyDescent="0.25">
      <c r="D21" s="14" t="s">
        <v>15</v>
      </c>
      <c r="G21" s="2" t="s">
        <v>14</v>
      </c>
      <c r="L21" s="44">
        <f t="shared" si="0"/>
        <v>5425000</v>
      </c>
      <c r="M21" s="22">
        <v>3688.3659480372444</v>
      </c>
    </row>
    <row r="22" spans="1:13" x14ac:dyDescent="0.25">
      <c r="L22" s="44">
        <f t="shared" si="0"/>
        <v>5725000</v>
      </c>
      <c r="M22" s="22">
        <v>3111.0813383758068</v>
      </c>
    </row>
    <row r="23" spans="1:13" x14ac:dyDescent="0.25">
      <c r="L23" s="44">
        <f t="shared" si="0"/>
        <v>6025000</v>
      </c>
      <c r="M23" s="22">
        <v>2521.4541777363047</v>
      </c>
    </row>
    <row r="24" spans="1:13" x14ac:dyDescent="0.25">
      <c r="L24" s="44">
        <f t="shared" si="0"/>
        <v>6325000</v>
      </c>
      <c r="M24" s="22">
        <v>1920.9914032770321</v>
      </c>
    </row>
    <row r="25" spans="1:13" x14ac:dyDescent="0.25">
      <c r="L25" s="44">
        <f t="shared" si="0"/>
        <v>6625000</v>
      </c>
      <c r="M25" s="22">
        <v>1310.9642304731533</v>
      </c>
    </row>
    <row r="26" spans="1:13" x14ac:dyDescent="0.25">
      <c r="L26" s="44">
        <f t="shared" si="0"/>
        <v>6925000</v>
      </c>
      <c r="M26" s="22">
        <v>692.45250929053873</v>
      </c>
    </row>
    <row r="27" spans="1:13" x14ac:dyDescent="0.25">
      <c r="L27" s="44">
        <f t="shared" si="0"/>
        <v>7225000</v>
      </c>
      <c r="M27" s="22">
        <v>66.37942772731185</v>
      </c>
    </row>
    <row r="28" spans="1:13" x14ac:dyDescent="0.25">
      <c r="L28" s="44">
        <f t="shared" si="0"/>
        <v>7525000</v>
      </c>
      <c r="M28" s="22">
        <v>-566.4610723759979</v>
      </c>
    </row>
  </sheetData>
  <mergeCells count="6">
    <mergeCell ref="A20:I20"/>
    <mergeCell ref="K1:M1"/>
    <mergeCell ref="A1:I1"/>
    <mergeCell ref="A2:C2"/>
    <mergeCell ref="F2:I2"/>
    <mergeCell ref="K3:K19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37B88-DED0-4CD0-9165-A55FE9C8D275}">
  <dimension ref="A1:AU86"/>
  <sheetViews>
    <sheetView showGridLines="0" zoomScale="70" zoomScaleNormal="70" workbookViewId="0"/>
  </sheetViews>
  <sheetFormatPr baseColWidth="10" defaultRowHeight="15" x14ac:dyDescent="0.25"/>
  <cols>
    <col min="1" max="1" width="4.28515625" style="2" customWidth="1"/>
    <col min="2" max="2" width="33.28515625" style="2" customWidth="1"/>
    <col min="3" max="17" width="11.7109375" style="2" customWidth="1"/>
    <col min="18" max="18" width="12.85546875" style="2" bestFit="1" customWidth="1"/>
    <col min="19" max="47" width="11.7109375" style="2" customWidth="1"/>
    <col min="48" max="16384" width="11.42578125" style="2"/>
  </cols>
  <sheetData>
    <row r="1" spans="1:47" ht="19.5" customHeight="1" x14ac:dyDescent="0.3">
      <c r="A1" s="36" t="s">
        <v>43</v>
      </c>
      <c r="B1" s="36"/>
      <c r="C1" s="36"/>
      <c r="D1" s="36"/>
      <c r="E1" s="36"/>
      <c r="F1" s="36"/>
      <c r="G1" s="36"/>
    </row>
    <row r="2" spans="1:47" ht="19.5" customHeight="1" x14ac:dyDescent="0.3">
      <c r="A2" s="1"/>
      <c r="B2" s="1"/>
      <c r="C2" s="1"/>
      <c r="D2" s="1"/>
      <c r="E2" s="1"/>
      <c r="F2" s="1"/>
      <c r="G2" s="1"/>
    </row>
    <row r="3" spans="1:47" ht="19.5" customHeight="1" x14ac:dyDescent="0.3">
      <c r="A3" s="36" t="s">
        <v>7</v>
      </c>
      <c r="B3" s="36"/>
      <c r="C3" s="14">
        <v>1</v>
      </c>
      <c r="D3" s="2">
        <v>2</v>
      </c>
      <c r="E3" s="2">
        <f>D3+1</f>
        <v>3</v>
      </c>
      <c r="F3" s="2">
        <f t="shared" ref="F3:V3" si="0">E3+1</f>
        <v>4</v>
      </c>
      <c r="G3" s="2">
        <f t="shared" si="0"/>
        <v>5</v>
      </c>
      <c r="H3" s="2">
        <f t="shared" si="0"/>
        <v>6</v>
      </c>
      <c r="I3" s="2">
        <f t="shared" si="0"/>
        <v>7</v>
      </c>
      <c r="J3" s="2">
        <f t="shared" si="0"/>
        <v>8</v>
      </c>
      <c r="K3" s="2">
        <f t="shared" si="0"/>
        <v>9</v>
      </c>
      <c r="L3" s="2">
        <f t="shared" si="0"/>
        <v>10</v>
      </c>
      <c r="M3" s="2">
        <f t="shared" si="0"/>
        <v>11</v>
      </c>
      <c r="N3" s="2">
        <f t="shared" si="0"/>
        <v>12</v>
      </c>
      <c r="O3" s="2">
        <f t="shared" si="0"/>
        <v>13</v>
      </c>
      <c r="P3" s="2">
        <f t="shared" si="0"/>
        <v>14</v>
      </c>
      <c r="Q3" s="2">
        <f t="shared" si="0"/>
        <v>15</v>
      </c>
      <c r="R3" s="2">
        <f t="shared" si="0"/>
        <v>16</v>
      </c>
      <c r="S3" s="2">
        <f t="shared" si="0"/>
        <v>17</v>
      </c>
      <c r="T3" s="2">
        <f t="shared" si="0"/>
        <v>18</v>
      </c>
      <c r="U3" s="2">
        <f t="shared" si="0"/>
        <v>19</v>
      </c>
      <c r="V3" s="2">
        <f t="shared" si="0"/>
        <v>20</v>
      </c>
      <c r="W3" s="2">
        <f t="shared" ref="W3:Y3" si="1">V3+1</f>
        <v>21</v>
      </c>
      <c r="X3" s="2">
        <f t="shared" si="1"/>
        <v>22</v>
      </c>
      <c r="Y3" s="2">
        <f t="shared" si="1"/>
        <v>23</v>
      </c>
      <c r="Z3" s="2">
        <f t="shared" ref="Z3:AI3" si="2">Y3+1</f>
        <v>24</v>
      </c>
      <c r="AA3" s="2">
        <f t="shared" si="2"/>
        <v>25</v>
      </c>
      <c r="AB3" s="2">
        <f t="shared" si="2"/>
        <v>26</v>
      </c>
      <c r="AC3" s="2">
        <f t="shared" si="2"/>
        <v>27</v>
      </c>
      <c r="AD3" s="2">
        <f t="shared" si="2"/>
        <v>28</v>
      </c>
      <c r="AE3" s="2">
        <f t="shared" si="2"/>
        <v>29</v>
      </c>
      <c r="AF3" s="2">
        <f t="shared" si="2"/>
        <v>30</v>
      </c>
      <c r="AG3" s="2">
        <f t="shared" si="2"/>
        <v>31</v>
      </c>
      <c r="AH3" s="2">
        <f t="shared" si="2"/>
        <v>32</v>
      </c>
      <c r="AI3" s="2">
        <f t="shared" si="2"/>
        <v>33</v>
      </c>
      <c r="AJ3" s="2">
        <f t="shared" ref="AJ3:AU3" si="3">AI3+1</f>
        <v>34</v>
      </c>
      <c r="AK3" s="2">
        <f t="shared" si="3"/>
        <v>35</v>
      </c>
      <c r="AL3" s="2">
        <f t="shared" si="3"/>
        <v>36</v>
      </c>
      <c r="AM3" s="2">
        <f t="shared" si="3"/>
        <v>37</v>
      </c>
      <c r="AN3" s="2">
        <f t="shared" si="3"/>
        <v>38</v>
      </c>
      <c r="AO3" s="2">
        <f t="shared" si="3"/>
        <v>39</v>
      </c>
      <c r="AP3" s="2">
        <f t="shared" si="3"/>
        <v>40</v>
      </c>
      <c r="AQ3" s="2">
        <f t="shared" si="3"/>
        <v>41</v>
      </c>
      <c r="AR3" s="2">
        <f t="shared" si="3"/>
        <v>42</v>
      </c>
      <c r="AS3" s="2">
        <f t="shared" si="3"/>
        <v>43</v>
      </c>
      <c r="AT3" s="2">
        <f t="shared" si="3"/>
        <v>44</v>
      </c>
      <c r="AU3" s="2">
        <f t="shared" si="3"/>
        <v>45</v>
      </c>
    </row>
    <row r="4" spans="1:47" ht="19.5" customHeight="1" x14ac:dyDescent="0.25">
      <c r="B4" s="2" t="s">
        <v>27</v>
      </c>
      <c r="C4" s="22">
        <v>80000</v>
      </c>
      <c r="D4" s="22">
        <f>C11</f>
        <v>84681.25</v>
      </c>
      <c r="E4" s="22">
        <f t="shared" ref="E4:V4" si="4">D11</f>
        <v>89620.992773437494</v>
      </c>
      <c r="F4" s="22">
        <f t="shared" si="4"/>
        <v>94833.501968145749</v>
      </c>
      <c r="G4" s="22">
        <f t="shared" si="4"/>
        <v>100333.83940494929</v>
      </c>
      <c r="H4" s="22">
        <f t="shared" si="4"/>
        <v>106137.89859959134</v>
      </c>
      <c r="I4" s="22">
        <f t="shared" si="4"/>
        <v>112262.45068788753</v>
      </c>
      <c r="J4" s="22">
        <f t="shared" si="4"/>
        <v>118725.19288680931</v>
      </c>
      <c r="K4" s="22">
        <f t="shared" si="4"/>
        <v>125544.79963152781</v>
      </c>
      <c r="L4" s="22">
        <f t="shared" si="4"/>
        <v>132740.97653618123</v>
      </c>
      <c r="M4" s="22">
        <f t="shared" si="4"/>
        <v>140334.51733428848</v>
      </c>
      <c r="N4" s="22">
        <f t="shared" si="4"/>
        <v>148347.36396334122</v>
      </c>
      <c r="O4" s="22">
        <f>N11</f>
        <v>156802.66996719196</v>
      </c>
      <c r="P4" s="22">
        <f t="shared" si="4"/>
        <v>165724.86739944285</v>
      </c>
      <c r="Q4" s="22">
        <f t="shared" si="4"/>
        <v>175139.73742115585</v>
      </c>
      <c r="R4" s="22">
        <f t="shared" si="4"/>
        <v>185074.48479688031</v>
      </c>
      <c r="S4" s="22">
        <f t="shared" si="4"/>
        <v>195557.81650425805</v>
      </c>
      <c r="T4" s="22">
        <f t="shared" si="4"/>
        <v>206620.02468435254</v>
      </c>
      <c r="U4" s="22">
        <f t="shared" si="4"/>
        <v>218293.07417239161</v>
      </c>
      <c r="V4" s="22">
        <f t="shared" si="4"/>
        <v>230610.69486184837</v>
      </c>
      <c r="W4" s="22">
        <f t="shared" ref="W4:Y4" si="5">V11</f>
        <v>243608.47916875107</v>
      </c>
      <c r="X4" s="22">
        <f t="shared" si="5"/>
        <v>257323.98487785054</v>
      </c>
      <c r="Y4" s="22">
        <f t="shared" si="5"/>
        <v>271796.84366782435</v>
      </c>
      <c r="Z4" s="22">
        <f t="shared" ref="Z4:AI4" si="6">Y11</f>
        <v>287068.875629107</v>
      </c>
      <c r="AA4" s="22">
        <f t="shared" si="6"/>
        <v>303184.21010525175</v>
      </c>
      <c r="AB4" s="22">
        <f t="shared" si="6"/>
        <v>320189.41320700111</v>
      </c>
      <c r="AC4" s="22">
        <f t="shared" si="6"/>
        <v>338133.62236752518</v>
      </c>
      <c r="AD4" s="22">
        <f t="shared" si="6"/>
        <v>357068.68832763197</v>
      </c>
      <c r="AE4" s="22">
        <f t="shared" si="6"/>
        <v>377049.32496122341</v>
      </c>
      <c r="AF4" s="22">
        <f t="shared" si="6"/>
        <v>398133.26737392595</v>
      </c>
      <c r="AG4" s="22">
        <f t="shared" si="6"/>
        <v>420381.43873172993</v>
      </c>
      <c r="AH4" s="22">
        <f t="shared" si="6"/>
        <v>443858.12630169763</v>
      </c>
      <c r="AI4" s="22">
        <f t="shared" si="6"/>
        <v>468631.16721341951</v>
      </c>
      <c r="AJ4" s="22">
        <f t="shared" ref="AJ4:AU4" si="7">AI11</f>
        <v>494772.14447798551</v>
      </c>
      <c r="AK4" s="22">
        <f t="shared" si="7"/>
        <v>522356.59383087925</v>
      </c>
      <c r="AL4" s="22">
        <f t="shared" si="7"/>
        <v>551464.22199647815</v>
      </c>
      <c r="AM4" s="22">
        <f t="shared" si="7"/>
        <v>582179.13700484624</v>
      </c>
      <c r="AN4" s="22">
        <f t="shared" si="7"/>
        <v>614590.09122633259</v>
      </c>
      <c r="AO4" s="22">
        <f t="shared" si="7"/>
        <v>648790.73782623664</v>
      </c>
      <c r="AP4" s="22">
        <f t="shared" si="7"/>
        <v>684879.9013805791</v>
      </c>
      <c r="AQ4" s="22">
        <f t="shared" si="7"/>
        <v>722961.86343493802</v>
      </c>
      <c r="AR4" s="22">
        <f t="shared" si="7"/>
        <v>763146.66383148602</v>
      </c>
      <c r="AS4" s="22">
        <f t="shared" si="7"/>
        <v>805550.41867493093</v>
      </c>
      <c r="AT4" s="22">
        <f t="shared" si="7"/>
        <v>850295.65585613728</v>
      </c>
      <c r="AU4" s="22">
        <f t="shared" si="7"/>
        <v>897511.66910294339</v>
      </c>
    </row>
    <row r="5" spans="1:47" ht="19.5" customHeight="1" x14ac:dyDescent="0.25">
      <c r="A5" s="2" t="s">
        <v>1</v>
      </c>
      <c r="B5" s="5" t="s">
        <v>28</v>
      </c>
      <c r="C5" s="23">
        <f>C4*7.5%</f>
        <v>6000</v>
      </c>
      <c r="D5" s="23">
        <f>D4*7.5%</f>
        <v>6351.09375</v>
      </c>
      <c r="E5" s="23">
        <f t="shared" ref="E5:V5" si="8">E4*7.5%</f>
        <v>6721.5744580078117</v>
      </c>
      <c r="F5" s="23">
        <f t="shared" si="8"/>
        <v>7112.5126476109308</v>
      </c>
      <c r="G5" s="23">
        <f t="shared" si="8"/>
        <v>7525.0379553711964</v>
      </c>
      <c r="H5" s="23">
        <f t="shared" si="8"/>
        <v>7960.3423949693497</v>
      </c>
      <c r="I5" s="23">
        <f t="shared" si="8"/>
        <v>8419.6838015915637</v>
      </c>
      <c r="J5" s="23">
        <f t="shared" si="8"/>
        <v>8904.3894665106982</v>
      </c>
      <c r="K5" s="23">
        <f t="shared" si="8"/>
        <v>9415.8599723645857</v>
      </c>
      <c r="L5" s="23">
        <f t="shared" si="8"/>
        <v>9955.5732402135927</v>
      </c>
      <c r="M5" s="23">
        <f t="shared" si="8"/>
        <v>10525.088800071635</v>
      </c>
      <c r="N5" s="23">
        <f t="shared" si="8"/>
        <v>11126.052297250591</v>
      </c>
      <c r="O5" s="23">
        <f>O4*7.5%</f>
        <v>11760.200247539397</v>
      </c>
      <c r="P5" s="23">
        <f t="shared" si="8"/>
        <v>12429.365054958214</v>
      </c>
      <c r="Q5" s="23">
        <f t="shared" si="8"/>
        <v>13135.480306586689</v>
      </c>
      <c r="R5" s="23">
        <f t="shared" si="8"/>
        <v>13880.586359766023</v>
      </c>
      <c r="S5" s="23">
        <f t="shared" si="8"/>
        <v>14666.836237819354</v>
      </c>
      <c r="T5" s="23">
        <f t="shared" si="8"/>
        <v>15496.50185132644</v>
      </c>
      <c r="U5" s="23">
        <f t="shared" si="8"/>
        <v>16371.98056292937</v>
      </c>
      <c r="V5" s="23">
        <f t="shared" si="8"/>
        <v>17295.802114638627</v>
      </c>
      <c r="W5" s="23">
        <f t="shared" ref="W5" si="9">W4*7.5%</f>
        <v>18270.63593765633</v>
      </c>
      <c r="X5" s="23">
        <f t="shared" ref="X5" si="10">X4*7.5%</f>
        <v>19299.298865838791</v>
      </c>
      <c r="Y5" s="23">
        <f t="shared" ref="Y5" si="11">Y4*7.5%</f>
        <v>20384.763275086825</v>
      </c>
      <c r="Z5" s="23">
        <f t="shared" ref="Z5" si="12">Z4*7.5%</f>
        <v>21530.165672183026</v>
      </c>
      <c r="AA5" s="23">
        <f t="shared" ref="AA5" si="13">AA4*7.5%</f>
        <v>22738.815757893881</v>
      </c>
      <c r="AB5" s="23">
        <f t="shared" ref="AB5" si="14">AB4*7.5%</f>
        <v>24014.205990525083</v>
      </c>
      <c r="AC5" s="23">
        <f t="shared" ref="AC5" si="15">AC4*7.5%</f>
        <v>25360.021677564389</v>
      </c>
      <c r="AD5" s="23">
        <f t="shared" ref="AD5" si="16">AD4*7.5%</f>
        <v>26780.151624572398</v>
      </c>
      <c r="AE5" s="23">
        <f t="shared" ref="AE5" si="17">AE4*7.5%</f>
        <v>28278.699372091756</v>
      </c>
      <c r="AF5" s="23">
        <f t="shared" ref="AF5" si="18">AF4*7.5%</f>
        <v>29859.995053044444</v>
      </c>
      <c r="AG5" s="23">
        <f t="shared" ref="AG5" si="19">AG4*7.5%</f>
        <v>31528.607904879744</v>
      </c>
      <c r="AH5" s="23">
        <f t="shared" ref="AH5" si="20">AH4*7.5%</f>
        <v>33289.359472627322</v>
      </c>
      <c r="AI5" s="23">
        <f t="shared" ref="AI5" si="21">AI4*7.5%</f>
        <v>35147.337541006462</v>
      </c>
      <c r="AJ5" s="23">
        <f t="shared" ref="AJ5" si="22">AJ4*7.5%</f>
        <v>37107.91083584891</v>
      </c>
      <c r="AK5" s="23">
        <f t="shared" ref="AK5" si="23">AK4*7.5%</f>
        <v>39176.744537315943</v>
      </c>
      <c r="AL5" s="23">
        <f t="shared" ref="AL5" si="24">AL4*7.5%</f>
        <v>41359.816649735862</v>
      </c>
      <c r="AM5" s="23">
        <f t="shared" ref="AM5" si="25">AM4*7.5%</f>
        <v>43663.435275363467</v>
      </c>
      <c r="AN5" s="23">
        <f t="shared" ref="AN5" si="26">AN4*7.5%</f>
        <v>46094.256841974944</v>
      </c>
      <c r="AO5" s="23">
        <f t="shared" ref="AO5" si="27">AO4*7.5%</f>
        <v>48659.305336967744</v>
      </c>
      <c r="AP5" s="23">
        <f t="shared" ref="AP5" si="28">AP4*7.5%</f>
        <v>51365.992603543433</v>
      </c>
      <c r="AQ5" s="23">
        <f t="shared" ref="AQ5" si="29">AQ4*7.5%</f>
        <v>54222.139757620353</v>
      </c>
      <c r="AR5" s="23">
        <f t="shared" ref="AR5" si="30">AR4*7.5%</f>
        <v>57235.999787361448</v>
      </c>
      <c r="AS5" s="23">
        <f t="shared" ref="AS5" si="31">AS4*7.5%</f>
        <v>60416.281400619817</v>
      </c>
      <c r="AT5" s="23">
        <f t="shared" ref="AT5" si="32">AT4*7.5%</f>
        <v>63772.174189210295</v>
      </c>
      <c r="AU5" s="23">
        <f t="shared" ref="AU5" si="33">AU4*7.5%</f>
        <v>67313.375182720745</v>
      </c>
    </row>
    <row r="6" spans="1:47" ht="19.5" customHeight="1" x14ac:dyDescent="0.25">
      <c r="A6" s="9" t="s">
        <v>6</v>
      </c>
      <c r="B6" s="2" t="s">
        <v>32</v>
      </c>
      <c r="C6" s="22">
        <f>SUM(C8:C9)</f>
        <v>-1318.75</v>
      </c>
      <c r="D6" s="22">
        <f>SUM(D8:D9)</f>
        <v>-1411.3509765624999</v>
      </c>
      <c r="E6" s="22">
        <f t="shared" ref="E6:V6" si="34">SUM(E8:E9)</f>
        <v>-1509.0652632995602</v>
      </c>
      <c r="F6" s="22">
        <f t="shared" si="34"/>
        <v>-1612.1752108073829</v>
      </c>
      <c r="G6" s="22">
        <f t="shared" si="34"/>
        <v>-1720.978760729153</v>
      </c>
      <c r="H6" s="22">
        <f t="shared" si="34"/>
        <v>-1835.790306673166</v>
      </c>
      <c r="I6" s="22">
        <f t="shared" si="34"/>
        <v>-1956.941602669775</v>
      </c>
      <c r="J6" s="22">
        <f t="shared" si="34"/>
        <v>-2084.7827217921968</v>
      </c>
      <c r="K6" s="22">
        <f t="shared" si="34"/>
        <v>-2219.6830677111593</v>
      </c>
      <c r="L6" s="22">
        <f t="shared" si="34"/>
        <v>-2362.0324421063351</v>
      </c>
      <c r="M6" s="22">
        <f t="shared" si="34"/>
        <v>-2512.2421710188937</v>
      </c>
      <c r="N6" s="22">
        <f t="shared" si="34"/>
        <v>-2670.7462933998436</v>
      </c>
      <c r="O6" s="22">
        <f>SUM(O8:O9)</f>
        <v>-2838.0028152885156</v>
      </c>
      <c r="P6" s="22">
        <f t="shared" si="34"/>
        <v>-3014.495033245229</v>
      </c>
      <c r="Q6" s="22">
        <f t="shared" si="34"/>
        <v>-3200.7329308622393</v>
      </c>
      <c r="R6" s="22">
        <f t="shared" si="34"/>
        <v>-3397.2546523882884</v>
      </c>
      <c r="S6" s="22">
        <f t="shared" si="34"/>
        <v>-3604.6280577248544</v>
      </c>
      <c r="T6" s="22">
        <f t="shared" si="34"/>
        <v>-3823.4523632873488</v>
      </c>
      <c r="U6" s="22">
        <f t="shared" si="34"/>
        <v>-4054.3598734726211</v>
      </c>
      <c r="V6" s="22">
        <f t="shared" si="34"/>
        <v>-4298.0178077359378</v>
      </c>
      <c r="W6" s="22">
        <f t="shared" ref="W6:Y6" si="35">SUM(W8:W9)</f>
        <v>-4555.1302285568572</v>
      </c>
      <c r="X6" s="22">
        <f t="shared" si="35"/>
        <v>-4826.4400758649808</v>
      </c>
      <c r="Y6" s="22">
        <f t="shared" si="35"/>
        <v>-5112.73131380415</v>
      </c>
      <c r="Z6" s="22">
        <f t="shared" ref="Z6:AI6" si="36">SUM(Z8:Z9)</f>
        <v>-5414.8311960382734</v>
      </c>
      <c r="AA6" s="22">
        <f t="shared" si="36"/>
        <v>-5733.6126561445108</v>
      </c>
      <c r="AB6" s="22">
        <f t="shared" si="36"/>
        <v>-6069.9968300009905</v>
      </c>
      <c r="AC6" s="22">
        <f t="shared" si="36"/>
        <v>-6424.9557174576075</v>
      </c>
      <c r="AD6" s="22">
        <f t="shared" si="36"/>
        <v>-6799.5149909809697</v>
      </c>
      <c r="AE6" s="22">
        <f t="shared" si="36"/>
        <v>-7194.7569593892003</v>
      </c>
      <c r="AF6" s="22">
        <f t="shared" si="36"/>
        <v>-7611.8236952404723</v>
      </c>
      <c r="AG6" s="22">
        <f t="shared" si="36"/>
        <v>-8051.9203349120326</v>
      </c>
      <c r="AH6" s="22">
        <f t="shared" si="36"/>
        <v>-8516.3185609054563</v>
      </c>
      <c r="AI6" s="22">
        <f t="shared" si="36"/>
        <v>-9006.360276440455</v>
      </c>
      <c r="AJ6" s="22">
        <f t="shared" ref="AJ6:AU6" si="37">SUM(AJ8:AJ9)</f>
        <v>-9523.4614829551501</v>
      </c>
      <c r="AK6" s="22">
        <f t="shared" si="37"/>
        <v>-10069.11637171708</v>
      </c>
      <c r="AL6" s="22">
        <f t="shared" si="37"/>
        <v>-10644.901641367833</v>
      </c>
      <c r="AM6" s="22">
        <f t="shared" si="37"/>
        <v>-11252.481053877114</v>
      </c>
      <c r="AN6" s="22">
        <f t="shared" si="37"/>
        <v>-11893.610242070892</v>
      </c>
      <c r="AO6" s="22">
        <f t="shared" si="37"/>
        <v>-12570.141782625242</v>
      </c>
      <c r="AP6" s="22">
        <f t="shared" si="37"/>
        <v>-13284.030549184581</v>
      </c>
      <c r="AQ6" s="22">
        <f t="shared" si="37"/>
        <v>-14037.339361072369</v>
      </c>
      <c r="AR6" s="22">
        <f t="shared" si="37"/>
        <v>-14832.244943916581</v>
      </c>
      <c r="AS6" s="22">
        <f t="shared" si="37"/>
        <v>-15671.044219413478</v>
      </c>
      <c r="AT6" s="22">
        <f t="shared" si="37"/>
        <v>-16556.160942404214</v>
      </c>
      <c r="AU6" s="22">
        <f t="shared" si="37"/>
        <v>-17490.152704442597</v>
      </c>
    </row>
    <row r="7" spans="1:47" ht="19.5" customHeight="1" x14ac:dyDescent="0.25">
      <c r="B7" s="20" t="s">
        <v>29</v>
      </c>
      <c r="C7" s="25">
        <f>C5-1000</f>
        <v>5000</v>
      </c>
      <c r="D7" s="25">
        <f>D5-1000</f>
        <v>5351.09375</v>
      </c>
      <c r="E7" s="25">
        <f t="shared" ref="E7:V7" si="38">E5-1000</f>
        <v>5721.5744580078117</v>
      </c>
      <c r="F7" s="25">
        <f t="shared" si="38"/>
        <v>6112.5126476109308</v>
      </c>
      <c r="G7" s="25">
        <f t="shared" si="38"/>
        <v>6525.0379553711964</v>
      </c>
      <c r="H7" s="25">
        <f t="shared" si="38"/>
        <v>6960.3423949693497</v>
      </c>
      <c r="I7" s="25">
        <f t="shared" si="38"/>
        <v>7419.6838015915637</v>
      </c>
      <c r="J7" s="25">
        <f t="shared" si="38"/>
        <v>7904.3894665106982</v>
      </c>
      <c r="K7" s="25">
        <f t="shared" si="38"/>
        <v>8415.8599723645857</v>
      </c>
      <c r="L7" s="25">
        <f t="shared" si="38"/>
        <v>8955.5732402135927</v>
      </c>
      <c r="M7" s="25">
        <f t="shared" si="38"/>
        <v>9525.088800071635</v>
      </c>
      <c r="N7" s="25">
        <f t="shared" si="38"/>
        <v>10126.052297250591</v>
      </c>
      <c r="O7" s="25">
        <f>O5-1000</f>
        <v>10760.200247539397</v>
      </c>
      <c r="P7" s="25">
        <f t="shared" si="38"/>
        <v>11429.365054958214</v>
      </c>
      <c r="Q7" s="25">
        <f t="shared" si="38"/>
        <v>12135.480306586689</v>
      </c>
      <c r="R7" s="25">
        <f t="shared" si="38"/>
        <v>12880.586359766023</v>
      </c>
      <c r="S7" s="25">
        <f t="shared" si="38"/>
        <v>13666.836237819354</v>
      </c>
      <c r="T7" s="25">
        <f t="shared" si="38"/>
        <v>14496.50185132644</v>
      </c>
      <c r="U7" s="25">
        <f t="shared" si="38"/>
        <v>15371.98056292937</v>
      </c>
      <c r="V7" s="25">
        <f t="shared" si="38"/>
        <v>16295.802114638627</v>
      </c>
      <c r="W7" s="25">
        <f t="shared" ref="W7:Y7" si="39">W5-1000</f>
        <v>17270.63593765633</v>
      </c>
      <c r="X7" s="25">
        <f t="shared" si="39"/>
        <v>18299.298865838791</v>
      </c>
      <c r="Y7" s="25">
        <f t="shared" si="39"/>
        <v>19384.763275086825</v>
      </c>
      <c r="Z7" s="25">
        <f t="shared" ref="Z7:AI7" si="40">Z5-1000</f>
        <v>20530.165672183026</v>
      </c>
      <c r="AA7" s="25">
        <f t="shared" si="40"/>
        <v>21738.815757893881</v>
      </c>
      <c r="AB7" s="25">
        <f t="shared" si="40"/>
        <v>23014.205990525083</v>
      </c>
      <c r="AC7" s="25">
        <f t="shared" si="40"/>
        <v>24360.021677564389</v>
      </c>
      <c r="AD7" s="25">
        <f t="shared" si="40"/>
        <v>25780.151624572398</v>
      </c>
      <c r="AE7" s="25">
        <f t="shared" si="40"/>
        <v>27278.699372091756</v>
      </c>
      <c r="AF7" s="25">
        <f t="shared" si="40"/>
        <v>28859.995053044444</v>
      </c>
      <c r="AG7" s="25">
        <f t="shared" si="40"/>
        <v>30528.607904879744</v>
      </c>
      <c r="AH7" s="25">
        <f t="shared" si="40"/>
        <v>32289.359472627322</v>
      </c>
      <c r="AI7" s="25">
        <f t="shared" si="40"/>
        <v>34147.337541006462</v>
      </c>
      <c r="AJ7" s="25">
        <f t="shared" ref="AJ7:AU7" si="41">AJ5-1000</f>
        <v>36107.91083584891</v>
      </c>
      <c r="AK7" s="25">
        <f t="shared" si="41"/>
        <v>38176.744537315943</v>
      </c>
      <c r="AL7" s="25">
        <f t="shared" si="41"/>
        <v>40359.816649735862</v>
      </c>
      <c r="AM7" s="25">
        <f t="shared" si="41"/>
        <v>42663.435275363467</v>
      </c>
      <c r="AN7" s="25">
        <f t="shared" si="41"/>
        <v>45094.256841974944</v>
      </c>
      <c r="AO7" s="25">
        <f t="shared" si="41"/>
        <v>47659.305336967744</v>
      </c>
      <c r="AP7" s="25">
        <f t="shared" si="41"/>
        <v>50365.992603543433</v>
      </c>
      <c r="AQ7" s="25">
        <f t="shared" si="41"/>
        <v>53222.139757620353</v>
      </c>
      <c r="AR7" s="25">
        <f t="shared" si="41"/>
        <v>56235.999787361448</v>
      </c>
      <c r="AS7" s="25">
        <f t="shared" si="41"/>
        <v>59416.281400619817</v>
      </c>
      <c r="AT7" s="25">
        <f t="shared" si="41"/>
        <v>62772.174189210295</v>
      </c>
      <c r="AU7" s="25">
        <f t="shared" si="41"/>
        <v>66313.375182720745</v>
      </c>
    </row>
    <row r="8" spans="1:47" ht="18.75" customHeight="1" x14ac:dyDescent="0.25">
      <c r="B8" s="10" t="s">
        <v>26</v>
      </c>
      <c r="C8" s="26">
        <f>-0.25*C7</f>
        <v>-1250</v>
      </c>
      <c r="D8" s="26">
        <f>-0.25*D7</f>
        <v>-1337.7734375</v>
      </c>
      <c r="E8" s="26">
        <f t="shared" ref="E8:V8" si="42">-0.25*E7</f>
        <v>-1430.3936145019529</v>
      </c>
      <c r="F8" s="26">
        <f t="shared" si="42"/>
        <v>-1528.1281619027327</v>
      </c>
      <c r="G8" s="26">
        <f t="shared" si="42"/>
        <v>-1631.2594888427991</v>
      </c>
      <c r="H8" s="26">
        <f t="shared" si="42"/>
        <v>-1740.0855987423374</v>
      </c>
      <c r="I8" s="26">
        <f t="shared" si="42"/>
        <v>-1854.9209503978909</v>
      </c>
      <c r="J8" s="26">
        <f t="shared" si="42"/>
        <v>-1976.0973666276745</v>
      </c>
      <c r="K8" s="26">
        <f t="shared" si="42"/>
        <v>-2103.9649930911464</v>
      </c>
      <c r="L8" s="26">
        <f t="shared" si="42"/>
        <v>-2238.8933100533982</v>
      </c>
      <c r="M8" s="26">
        <f t="shared" si="42"/>
        <v>-2381.2722000179087</v>
      </c>
      <c r="N8" s="26">
        <f t="shared" si="42"/>
        <v>-2531.5130743126479</v>
      </c>
      <c r="O8" s="26">
        <f t="shared" si="42"/>
        <v>-2690.0500618848491</v>
      </c>
      <c r="P8" s="26">
        <f t="shared" si="42"/>
        <v>-2857.3412637395536</v>
      </c>
      <c r="Q8" s="26">
        <f t="shared" si="42"/>
        <v>-3033.8700766466723</v>
      </c>
      <c r="R8" s="26">
        <f t="shared" si="42"/>
        <v>-3220.1465899415057</v>
      </c>
      <c r="S8" s="26">
        <f t="shared" si="42"/>
        <v>-3416.7090594548386</v>
      </c>
      <c r="T8" s="26">
        <f t="shared" si="42"/>
        <v>-3624.1254628316101</v>
      </c>
      <c r="U8" s="26">
        <f t="shared" si="42"/>
        <v>-3842.9951407323424</v>
      </c>
      <c r="V8" s="26">
        <f t="shared" si="42"/>
        <v>-4073.9505286596568</v>
      </c>
      <c r="W8" s="26">
        <f t="shared" ref="W8" si="43">-0.25*W7</f>
        <v>-4317.6589844140826</v>
      </c>
      <c r="X8" s="26">
        <f t="shared" ref="X8" si="44">-0.25*X7</f>
        <v>-4574.8247164596978</v>
      </c>
      <c r="Y8" s="26">
        <f t="shared" ref="Y8" si="45">-0.25*Y7</f>
        <v>-4846.1908187717063</v>
      </c>
      <c r="Z8" s="26">
        <f t="shared" ref="Z8" si="46">-0.25*Z7</f>
        <v>-5132.5414180457565</v>
      </c>
      <c r="AA8" s="26">
        <f t="shared" ref="AA8" si="47">-0.25*AA7</f>
        <v>-5434.7039394734702</v>
      </c>
      <c r="AB8" s="26">
        <f t="shared" ref="AB8" si="48">-0.25*AB7</f>
        <v>-5753.5514976312706</v>
      </c>
      <c r="AC8" s="26">
        <f t="shared" ref="AC8" si="49">-0.25*AC7</f>
        <v>-6090.0054193910973</v>
      </c>
      <c r="AD8" s="26">
        <f t="shared" ref="AD8" si="50">-0.25*AD7</f>
        <v>-6445.0379061430995</v>
      </c>
      <c r="AE8" s="26">
        <f t="shared" ref="AE8" si="51">-0.25*AE7</f>
        <v>-6819.6748430229391</v>
      </c>
      <c r="AF8" s="26">
        <f t="shared" ref="AF8" si="52">-0.25*AF7</f>
        <v>-7214.998763261111</v>
      </c>
      <c r="AG8" s="26">
        <f t="shared" ref="AG8" si="53">-0.25*AG7</f>
        <v>-7632.1519762199359</v>
      </c>
      <c r="AH8" s="26">
        <f t="shared" ref="AH8" si="54">-0.25*AH7</f>
        <v>-8072.3398681568306</v>
      </c>
      <c r="AI8" s="26">
        <f t="shared" ref="AI8" si="55">-0.25*AI7</f>
        <v>-8536.8343852516155</v>
      </c>
      <c r="AJ8" s="26">
        <f t="shared" ref="AJ8" si="56">-0.25*AJ7</f>
        <v>-9026.9777089622276</v>
      </c>
      <c r="AK8" s="26">
        <f t="shared" ref="AK8" si="57">-0.25*AK7</f>
        <v>-9544.1861343289856</v>
      </c>
      <c r="AL8" s="26">
        <f t="shared" ref="AL8" si="58">-0.25*AL7</f>
        <v>-10089.954162433965</v>
      </c>
      <c r="AM8" s="26">
        <f t="shared" ref="AM8" si="59">-0.25*AM7</f>
        <v>-10665.858818840867</v>
      </c>
      <c r="AN8" s="26">
        <f t="shared" ref="AN8" si="60">-0.25*AN7</f>
        <v>-11273.564210493736</v>
      </c>
      <c r="AO8" s="26">
        <f t="shared" ref="AO8" si="61">-0.25*AO7</f>
        <v>-11914.826334241936</v>
      </c>
      <c r="AP8" s="26">
        <f t="shared" ref="AP8" si="62">-0.25*AP7</f>
        <v>-12591.498150885858</v>
      </c>
      <c r="AQ8" s="26">
        <f t="shared" ref="AQ8" si="63">-0.25*AQ7</f>
        <v>-13305.534939405088</v>
      </c>
      <c r="AR8" s="26">
        <f t="shared" ref="AR8" si="64">-0.25*AR7</f>
        <v>-14058.999946840362</v>
      </c>
      <c r="AS8" s="26">
        <f t="shared" ref="AS8" si="65">-0.25*AS7</f>
        <v>-14854.070350154954</v>
      </c>
      <c r="AT8" s="26">
        <f t="shared" ref="AT8" si="66">-0.25*AT7</f>
        <v>-15693.043547302574</v>
      </c>
      <c r="AU8" s="26">
        <f t="shared" ref="AU8" si="67">-0.25*AU7</f>
        <v>-16578.343795680186</v>
      </c>
    </row>
    <row r="9" spans="1:47" ht="19.5" customHeight="1" x14ac:dyDescent="0.25">
      <c r="B9" s="21" t="s">
        <v>5</v>
      </c>
      <c r="C9" s="27">
        <f>C8*5.5%</f>
        <v>-68.75</v>
      </c>
      <c r="D9" s="27">
        <f>D8*5.5%</f>
        <v>-73.577539062499994</v>
      </c>
      <c r="E9" s="27">
        <f t="shared" ref="E9:V9" si="68">E8*5.5%</f>
        <v>-78.671648797607418</v>
      </c>
      <c r="F9" s="27">
        <f t="shared" si="68"/>
        <v>-84.047048904650296</v>
      </c>
      <c r="G9" s="27">
        <f t="shared" si="68"/>
        <v>-89.719271886353951</v>
      </c>
      <c r="H9" s="27">
        <f t="shared" si="68"/>
        <v>-95.704707930828562</v>
      </c>
      <c r="I9" s="27">
        <f t="shared" si="68"/>
        <v>-102.020652271884</v>
      </c>
      <c r="J9" s="27">
        <f t="shared" si="68"/>
        <v>-108.68535516452211</v>
      </c>
      <c r="K9" s="27">
        <f t="shared" si="68"/>
        <v>-115.71807462001306</v>
      </c>
      <c r="L9" s="27">
        <f t="shared" si="68"/>
        <v>-123.1391320529369</v>
      </c>
      <c r="M9" s="27">
        <f t="shared" si="68"/>
        <v>-130.96997100098497</v>
      </c>
      <c r="N9" s="27">
        <f t="shared" si="68"/>
        <v>-139.23321908719564</v>
      </c>
      <c r="O9" s="27">
        <f t="shared" si="68"/>
        <v>-147.95275340366669</v>
      </c>
      <c r="P9" s="27">
        <f t="shared" si="68"/>
        <v>-157.15376950567546</v>
      </c>
      <c r="Q9" s="27">
        <f t="shared" si="68"/>
        <v>-166.86285421556698</v>
      </c>
      <c r="R9" s="27">
        <f t="shared" si="68"/>
        <v>-177.10806244678281</v>
      </c>
      <c r="S9" s="27">
        <f t="shared" si="68"/>
        <v>-187.91899827001612</v>
      </c>
      <c r="T9" s="27">
        <f t="shared" si="68"/>
        <v>-199.32690045573855</v>
      </c>
      <c r="U9" s="27">
        <f t="shared" si="68"/>
        <v>-211.36473274027884</v>
      </c>
      <c r="V9" s="27">
        <f t="shared" si="68"/>
        <v>-224.06727907628112</v>
      </c>
      <c r="W9" s="27">
        <f t="shared" ref="W9" si="69">W8*5.5%</f>
        <v>-237.47124414277454</v>
      </c>
      <c r="X9" s="27">
        <f t="shared" ref="X9" si="70">X8*5.5%</f>
        <v>-251.61535940528339</v>
      </c>
      <c r="Y9" s="27">
        <f t="shared" ref="Y9" si="71">Y8*5.5%</f>
        <v>-266.54049503244386</v>
      </c>
      <c r="Z9" s="27">
        <f t="shared" ref="Z9" si="72">Z8*5.5%</f>
        <v>-282.28977799251663</v>
      </c>
      <c r="AA9" s="27">
        <f t="shared" ref="AA9" si="73">AA8*5.5%</f>
        <v>-298.90871667104085</v>
      </c>
      <c r="AB9" s="27">
        <f t="shared" ref="AB9" si="74">AB8*5.5%</f>
        <v>-316.44533236971989</v>
      </c>
      <c r="AC9" s="27">
        <f t="shared" ref="AC9" si="75">AC8*5.5%</f>
        <v>-334.95029806651036</v>
      </c>
      <c r="AD9" s="27">
        <f t="shared" ref="AD9" si="76">AD8*5.5%</f>
        <v>-354.47708483787045</v>
      </c>
      <c r="AE9" s="27">
        <f t="shared" ref="AE9" si="77">AE8*5.5%</f>
        <v>-375.08211636626163</v>
      </c>
      <c r="AF9" s="27">
        <f t="shared" ref="AF9" si="78">AF8*5.5%</f>
        <v>-396.82493197936111</v>
      </c>
      <c r="AG9" s="27">
        <f t="shared" ref="AG9" si="79">AG8*5.5%</f>
        <v>-419.76835869209646</v>
      </c>
      <c r="AH9" s="27">
        <f t="shared" ref="AH9" si="80">AH8*5.5%</f>
        <v>-443.97869274862569</v>
      </c>
      <c r="AI9" s="27">
        <f t="shared" ref="AI9" si="81">AI8*5.5%</f>
        <v>-469.52589118883884</v>
      </c>
      <c r="AJ9" s="27">
        <f t="shared" ref="AJ9" si="82">AJ8*5.5%</f>
        <v>-496.48377399292252</v>
      </c>
      <c r="AK9" s="27">
        <f t="shared" ref="AK9" si="83">AK8*5.5%</f>
        <v>-524.93023738809427</v>
      </c>
      <c r="AL9" s="27">
        <f t="shared" ref="AL9" si="84">AL8*5.5%</f>
        <v>-554.94747893386807</v>
      </c>
      <c r="AM9" s="27">
        <f t="shared" ref="AM9" si="85">AM8*5.5%</f>
        <v>-586.62223503624762</v>
      </c>
      <c r="AN9" s="27">
        <f t="shared" ref="AN9" si="86">AN8*5.5%</f>
        <v>-620.04603157715553</v>
      </c>
      <c r="AO9" s="27">
        <f t="shared" ref="AO9" si="87">AO8*5.5%</f>
        <v>-655.31544838330649</v>
      </c>
      <c r="AP9" s="27">
        <f t="shared" ref="AP9" si="88">AP8*5.5%</f>
        <v>-692.53239829872223</v>
      </c>
      <c r="AQ9" s="27">
        <f t="shared" ref="AQ9" si="89">AQ8*5.5%</f>
        <v>-731.80442166727983</v>
      </c>
      <c r="AR9" s="27">
        <f t="shared" ref="AR9" si="90">AR8*5.5%</f>
        <v>-773.24499707621987</v>
      </c>
      <c r="AS9" s="27">
        <f t="shared" ref="AS9" si="91">AS8*5.5%</f>
        <v>-816.97386925852254</v>
      </c>
      <c r="AT9" s="27">
        <f t="shared" ref="AT9" si="92">AT8*5.5%</f>
        <v>-863.11739510164159</v>
      </c>
      <c r="AU9" s="27">
        <f t="shared" ref="AU9" si="93">AU8*5.5%</f>
        <v>-911.80890876241028</v>
      </c>
    </row>
    <row r="10" spans="1:47" ht="19.5" customHeight="1" x14ac:dyDescent="0.25">
      <c r="A10" s="9" t="s">
        <v>1</v>
      </c>
      <c r="B10" s="13" t="s">
        <v>8</v>
      </c>
      <c r="C10" s="28">
        <f>SUM(C5:C6)</f>
        <v>4681.25</v>
      </c>
      <c r="D10" s="28">
        <f>SUM(D5:D6)</f>
        <v>4939.7427734374996</v>
      </c>
      <c r="E10" s="28">
        <f t="shared" ref="E10:V10" si="94">SUM(E5:E6)</f>
        <v>5212.509194708251</v>
      </c>
      <c r="F10" s="28">
        <f t="shared" si="94"/>
        <v>5500.3374368035475</v>
      </c>
      <c r="G10" s="28">
        <f t="shared" si="94"/>
        <v>5804.0591946420436</v>
      </c>
      <c r="H10" s="28">
        <f t="shared" si="94"/>
        <v>6124.5520882961837</v>
      </c>
      <c r="I10" s="28">
        <f t="shared" si="94"/>
        <v>6462.7421989217892</v>
      </c>
      <c r="J10" s="28">
        <f t="shared" si="94"/>
        <v>6819.6067447185014</v>
      </c>
      <c r="K10" s="28">
        <f t="shared" si="94"/>
        <v>7196.1769046534264</v>
      </c>
      <c r="L10" s="28">
        <f t="shared" si="94"/>
        <v>7593.5407981072576</v>
      </c>
      <c r="M10" s="28">
        <f t="shared" si="94"/>
        <v>8012.8466290527413</v>
      </c>
      <c r="N10" s="28">
        <f t="shared" si="94"/>
        <v>8455.3060038507483</v>
      </c>
      <c r="O10" s="28">
        <f t="shared" si="94"/>
        <v>8922.1974322508813</v>
      </c>
      <c r="P10" s="28">
        <f t="shared" si="94"/>
        <v>9414.8700217129845</v>
      </c>
      <c r="Q10" s="28">
        <f t="shared" si="94"/>
        <v>9934.7473757244497</v>
      </c>
      <c r="R10" s="28">
        <f t="shared" si="94"/>
        <v>10483.331707377734</v>
      </c>
      <c r="S10" s="28">
        <f t="shared" si="94"/>
        <v>11062.2081800945</v>
      </c>
      <c r="T10" s="28">
        <f t="shared" si="94"/>
        <v>11673.049488039091</v>
      </c>
      <c r="U10" s="28">
        <f t="shared" si="94"/>
        <v>12317.620689456748</v>
      </c>
      <c r="V10" s="28">
        <f t="shared" si="94"/>
        <v>12997.784306902689</v>
      </c>
      <c r="W10" s="28">
        <f t="shared" ref="W10:Y10" si="95">SUM(W5:W6)</f>
        <v>13715.505709099474</v>
      </c>
      <c r="X10" s="28">
        <f t="shared" si="95"/>
        <v>14472.85878997381</v>
      </c>
      <c r="Y10" s="28">
        <f t="shared" si="95"/>
        <v>15272.031961282675</v>
      </c>
      <c r="Z10" s="28">
        <f t="shared" ref="Z10:AI10" si="96">SUM(Z5:Z6)</f>
        <v>16115.334476144752</v>
      </c>
      <c r="AA10" s="28">
        <f t="shared" si="96"/>
        <v>17005.203101749372</v>
      </c>
      <c r="AB10" s="28">
        <f t="shared" si="96"/>
        <v>17944.209160524093</v>
      </c>
      <c r="AC10" s="28">
        <f t="shared" si="96"/>
        <v>18935.065960106782</v>
      </c>
      <c r="AD10" s="28">
        <f t="shared" si="96"/>
        <v>19980.636633591428</v>
      </c>
      <c r="AE10" s="28">
        <f t="shared" si="96"/>
        <v>21083.942412702556</v>
      </c>
      <c r="AF10" s="28">
        <f t="shared" si="96"/>
        <v>22248.171357803971</v>
      </c>
      <c r="AG10" s="28">
        <f t="shared" si="96"/>
        <v>23476.687569967711</v>
      </c>
      <c r="AH10" s="28">
        <f t="shared" si="96"/>
        <v>24773.040911721866</v>
      </c>
      <c r="AI10" s="28">
        <f t="shared" si="96"/>
        <v>26140.977264566005</v>
      </c>
      <c r="AJ10" s="28">
        <f t="shared" ref="AJ10:AU10" si="97">SUM(AJ5:AJ6)</f>
        <v>27584.44935289376</v>
      </c>
      <c r="AK10" s="28">
        <f t="shared" si="97"/>
        <v>29107.628165598864</v>
      </c>
      <c r="AL10" s="28">
        <f t="shared" si="97"/>
        <v>30714.915008368029</v>
      </c>
      <c r="AM10" s="28">
        <f t="shared" si="97"/>
        <v>32410.954221486354</v>
      </c>
      <c r="AN10" s="28">
        <f t="shared" si="97"/>
        <v>34200.646599904052</v>
      </c>
      <c r="AO10" s="28">
        <f t="shared" si="97"/>
        <v>36089.1635543425</v>
      </c>
      <c r="AP10" s="28">
        <f t="shared" si="97"/>
        <v>38081.962054358853</v>
      </c>
      <c r="AQ10" s="28">
        <f t="shared" si="97"/>
        <v>40184.800396547987</v>
      </c>
      <c r="AR10" s="28">
        <f t="shared" si="97"/>
        <v>42403.754843444869</v>
      </c>
      <c r="AS10" s="28">
        <f t="shared" si="97"/>
        <v>44745.237181206336</v>
      </c>
      <c r="AT10" s="28">
        <f t="shared" si="97"/>
        <v>47216.013246806076</v>
      </c>
      <c r="AU10" s="28">
        <f t="shared" si="97"/>
        <v>49823.222478278149</v>
      </c>
    </row>
    <row r="11" spans="1:47" x14ac:dyDescent="0.25">
      <c r="A11" s="9" t="s">
        <v>1</v>
      </c>
      <c r="B11" s="9" t="s">
        <v>38</v>
      </c>
      <c r="C11" s="24">
        <f>C10+C4</f>
        <v>84681.25</v>
      </c>
      <c r="D11" s="24">
        <f>D10+D4</f>
        <v>89620.992773437494</v>
      </c>
      <c r="E11" s="24">
        <f t="shared" ref="E11:V11" si="98">E10+E4</f>
        <v>94833.501968145749</v>
      </c>
      <c r="F11" s="24">
        <f t="shared" si="98"/>
        <v>100333.83940494929</v>
      </c>
      <c r="G11" s="24">
        <f t="shared" si="98"/>
        <v>106137.89859959134</v>
      </c>
      <c r="H11" s="24">
        <f t="shared" si="98"/>
        <v>112262.45068788753</v>
      </c>
      <c r="I11" s="24">
        <f t="shared" si="98"/>
        <v>118725.19288680931</v>
      </c>
      <c r="J11" s="24">
        <f t="shared" si="98"/>
        <v>125544.79963152781</v>
      </c>
      <c r="K11" s="24">
        <f t="shared" si="98"/>
        <v>132740.97653618123</v>
      </c>
      <c r="L11" s="24">
        <f t="shared" si="98"/>
        <v>140334.51733428848</v>
      </c>
      <c r="M11" s="24">
        <f t="shared" si="98"/>
        <v>148347.36396334122</v>
      </c>
      <c r="N11" s="24">
        <f t="shared" si="98"/>
        <v>156802.66996719196</v>
      </c>
      <c r="O11" s="24">
        <f t="shared" si="98"/>
        <v>165724.86739944285</v>
      </c>
      <c r="P11" s="24">
        <f t="shared" si="98"/>
        <v>175139.73742115585</v>
      </c>
      <c r="Q11" s="24">
        <f t="shared" si="98"/>
        <v>185074.48479688031</v>
      </c>
      <c r="R11" s="24">
        <f t="shared" si="98"/>
        <v>195557.81650425805</v>
      </c>
      <c r="S11" s="24">
        <f t="shared" si="98"/>
        <v>206620.02468435254</v>
      </c>
      <c r="T11" s="24">
        <f t="shared" si="98"/>
        <v>218293.07417239161</v>
      </c>
      <c r="U11" s="24">
        <f t="shared" si="98"/>
        <v>230610.69486184837</v>
      </c>
      <c r="V11" s="24">
        <f t="shared" si="98"/>
        <v>243608.47916875107</v>
      </c>
      <c r="W11" s="24">
        <f t="shared" ref="W11" si="99">W10+W4</f>
        <v>257323.98487785054</v>
      </c>
      <c r="X11" s="24">
        <f t="shared" ref="X11" si="100">X10+X4</f>
        <v>271796.84366782435</v>
      </c>
      <c r="Y11" s="24">
        <f t="shared" ref="Y11" si="101">Y10+Y4</f>
        <v>287068.875629107</v>
      </c>
      <c r="Z11" s="24">
        <f t="shared" ref="Z11" si="102">Z10+Z4</f>
        <v>303184.21010525175</v>
      </c>
      <c r="AA11" s="24">
        <f t="shared" ref="AA11" si="103">AA10+AA4</f>
        <v>320189.41320700111</v>
      </c>
      <c r="AB11" s="24">
        <f t="shared" ref="AB11" si="104">AB10+AB4</f>
        <v>338133.62236752518</v>
      </c>
      <c r="AC11" s="24">
        <f t="shared" ref="AC11" si="105">AC10+AC4</f>
        <v>357068.68832763197</v>
      </c>
      <c r="AD11" s="24">
        <f t="shared" ref="AD11" si="106">AD10+AD4</f>
        <v>377049.32496122341</v>
      </c>
      <c r="AE11" s="24">
        <f t="shared" ref="AE11" si="107">AE10+AE4</f>
        <v>398133.26737392595</v>
      </c>
      <c r="AF11" s="24">
        <f t="shared" ref="AF11" si="108">AF10+AF4</f>
        <v>420381.43873172993</v>
      </c>
      <c r="AG11" s="24">
        <f t="shared" ref="AG11" si="109">AG10+AG4</f>
        <v>443858.12630169763</v>
      </c>
      <c r="AH11" s="24">
        <f t="shared" ref="AH11" si="110">AH10+AH4</f>
        <v>468631.16721341951</v>
      </c>
      <c r="AI11" s="24">
        <f t="shared" ref="AI11" si="111">AI10+AI4</f>
        <v>494772.14447798551</v>
      </c>
      <c r="AJ11" s="24">
        <f t="shared" ref="AJ11" si="112">AJ10+AJ4</f>
        <v>522356.59383087925</v>
      </c>
      <c r="AK11" s="24">
        <f t="shared" ref="AK11" si="113">AK10+AK4</f>
        <v>551464.22199647815</v>
      </c>
      <c r="AL11" s="24">
        <f t="shared" ref="AL11" si="114">AL10+AL4</f>
        <v>582179.13700484624</v>
      </c>
      <c r="AM11" s="24">
        <f t="shared" ref="AM11" si="115">AM10+AM4</f>
        <v>614590.09122633259</v>
      </c>
      <c r="AN11" s="24">
        <f t="shared" ref="AN11" si="116">AN10+AN4</f>
        <v>648790.73782623664</v>
      </c>
      <c r="AO11" s="24">
        <f t="shared" ref="AO11" si="117">AO10+AO4</f>
        <v>684879.9013805791</v>
      </c>
      <c r="AP11" s="24">
        <f t="shared" ref="AP11" si="118">AP10+AP4</f>
        <v>722961.86343493802</v>
      </c>
      <c r="AQ11" s="24">
        <f t="shared" ref="AQ11" si="119">AQ10+AQ4</f>
        <v>763146.66383148602</v>
      </c>
      <c r="AR11" s="24">
        <f t="shared" ref="AR11" si="120">AR10+AR4</f>
        <v>805550.41867493093</v>
      </c>
      <c r="AS11" s="24">
        <f t="shared" ref="AS11" si="121">AS10+AS4</f>
        <v>850295.65585613728</v>
      </c>
      <c r="AT11" s="24">
        <f t="shared" ref="AT11" si="122">AT10+AT4</f>
        <v>897511.66910294339</v>
      </c>
      <c r="AU11" s="24">
        <f t="shared" ref="AU11" si="123">AU10+AU4</f>
        <v>947334.89158122148</v>
      </c>
    </row>
    <row r="13" spans="1:47" ht="18.75" x14ac:dyDescent="0.3">
      <c r="A13" s="36" t="s">
        <v>13</v>
      </c>
      <c r="B13" s="36"/>
      <c r="C13" s="36"/>
    </row>
    <row r="14" spans="1:47" x14ac:dyDescent="0.25">
      <c r="B14" s="2" t="s">
        <v>36</v>
      </c>
      <c r="C14" s="26">
        <f>C4-5000</f>
        <v>75000</v>
      </c>
      <c r="D14" s="22">
        <f>C23</f>
        <v>79038.3046875</v>
      </c>
      <c r="E14" s="22">
        <f t="shared" ref="E14:AU14" si="124">D23</f>
        <v>83374.814198737789</v>
      </c>
      <c r="F14" s="22">
        <f t="shared" si="124"/>
        <v>88031.549189355268</v>
      </c>
      <c r="G14" s="22">
        <f t="shared" si="124"/>
        <v>93032.15640966584</v>
      </c>
      <c r="H14" s="22">
        <f t="shared" si="124"/>
        <v>98402.028782090987</v>
      </c>
      <c r="I14" s="22">
        <f t="shared" si="124"/>
        <v>104168.43434560251</v>
      </c>
      <c r="J14" s="22">
        <f t="shared" si="124"/>
        <v>110360.65472194632</v>
      </c>
      <c r="K14" s="22">
        <f t="shared" si="124"/>
        <v>117010.13380677465</v>
      </c>
      <c r="L14" s="22">
        <f t="shared" si="124"/>
        <v>124150.63744073549</v>
      </c>
      <c r="M14" s="22">
        <f t="shared" si="124"/>
        <v>131818.42487132401</v>
      </c>
      <c r="N14" s="22">
        <f t="shared" si="124"/>
        <v>140052.43287617361</v>
      </c>
      <c r="O14" s="22">
        <f t="shared" si="124"/>
        <v>148894.47348275883</v>
      </c>
      <c r="P14" s="22">
        <f t="shared" si="124"/>
        <v>158389.44628852425</v>
      </c>
      <c r="Q14" s="22">
        <f t="shared" si="124"/>
        <v>168585.56645959444</v>
      </c>
      <c r="R14" s="22">
        <f t="shared" si="124"/>
        <v>179534.60956583463</v>
      </c>
      <c r="S14" s="22">
        <f t="shared" si="124"/>
        <v>191292.17449552723</v>
      </c>
      <c r="T14" s="22">
        <f t="shared" si="124"/>
        <v>203917.96578473586</v>
      </c>
      <c r="U14" s="22">
        <f t="shared" si="124"/>
        <v>217476.09679501675</v>
      </c>
      <c r="V14" s="22">
        <f t="shared" si="124"/>
        <v>232035.41527900402</v>
      </c>
      <c r="W14" s="22">
        <f t="shared" si="124"/>
        <v>247669.85298708026</v>
      </c>
      <c r="X14" s="22">
        <f t="shared" si="124"/>
        <v>264458.80109042401</v>
      </c>
      <c r="Y14" s="22">
        <f t="shared" si="124"/>
        <v>282487.51332682034</v>
      </c>
      <c r="Z14" s="22">
        <f t="shared" si="124"/>
        <v>301847.53891639563</v>
      </c>
      <c r="AA14" s="22">
        <f t="shared" si="124"/>
        <v>322637.18744560913</v>
      </c>
      <c r="AB14" s="22">
        <f t="shared" si="124"/>
        <v>344962.0280801669</v>
      </c>
      <c r="AC14" s="22">
        <f t="shared" si="124"/>
        <v>368935.4256418455</v>
      </c>
      <c r="AD14" s="22">
        <f t="shared" si="124"/>
        <v>394679.11627140606</v>
      </c>
      <c r="AE14" s="22">
        <f t="shared" si="124"/>
        <v>422323.82560079655</v>
      </c>
      <c r="AF14" s="22">
        <f t="shared" si="124"/>
        <v>452009.93257370085</v>
      </c>
      <c r="AG14" s="22">
        <f t="shared" si="124"/>
        <v>483888.18228529399</v>
      </c>
      <c r="AH14" s="22">
        <f t="shared" si="124"/>
        <v>518120.45146098064</v>
      </c>
      <c r="AI14" s="22">
        <f t="shared" si="124"/>
        <v>554880.57046119345</v>
      </c>
      <c r="AJ14" s="22">
        <f t="shared" si="124"/>
        <v>594355.20598636544</v>
      </c>
      <c r="AK14" s="22">
        <f t="shared" si="124"/>
        <v>636744.80896442302</v>
      </c>
      <c r="AL14" s="22">
        <f t="shared" si="124"/>
        <v>682264.6324341424</v>
      </c>
      <c r="AM14" s="22">
        <f t="shared" si="124"/>
        <v>731145.82459314878</v>
      </c>
      <c r="AN14" s="22">
        <f t="shared" si="124"/>
        <v>783636.60256101924</v>
      </c>
      <c r="AO14" s="22">
        <f t="shared" si="124"/>
        <v>840003.51281782286</v>
      </c>
      <c r="AP14" s="22">
        <f t="shared" si="124"/>
        <v>900532.78471856168</v>
      </c>
      <c r="AQ14" s="22">
        <f t="shared" si="124"/>
        <v>965531.78395661816</v>
      </c>
      <c r="AR14" s="22">
        <f t="shared" si="124"/>
        <v>1035330.5733568472</v>
      </c>
      <c r="AS14" s="22">
        <f t="shared" si="124"/>
        <v>1110283.5889239709</v>
      </c>
      <c r="AT14" s="22">
        <f t="shared" si="124"/>
        <v>1190771.4396571969</v>
      </c>
      <c r="AU14" s="22">
        <f t="shared" si="124"/>
        <v>1277202.8402704578</v>
      </c>
    </row>
    <row r="15" spans="1:47" x14ac:dyDescent="0.25">
      <c r="A15" s="2" t="s">
        <v>1</v>
      </c>
      <c r="B15" s="5" t="s">
        <v>28</v>
      </c>
      <c r="C15" s="22">
        <f>C14*7.5%</f>
        <v>5625</v>
      </c>
      <c r="D15" s="22">
        <f>D14*7.5%</f>
        <v>5927.8728515624998</v>
      </c>
      <c r="E15" s="22">
        <f t="shared" ref="E15:V15" si="125">E14*7.5%</f>
        <v>6253.1110649053344</v>
      </c>
      <c r="F15" s="22">
        <f>F14*7.5%</f>
        <v>6602.3661892016453</v>
      </c>
      <c r="G15" s="22">
        <f>G14*7.5%</f>
        <v>6977.411730724938</v>
      </c>
      <c r="H15" s="22">
        <f t="shared" si="125"/>
        <v>7380.1521586568233</v>
      </c>
      <c r="I15" s="22">
        <f t="shared" si="125"/>
        <v>7812.6325759201882</v>
      </c>
      <c r="J15" s="22">
        <f t="shared" si="125"/>
        <v>8277.0491041459736</v>
      </c>
      <c r="K15" s="22">
        <f t="shared" si="125"/>
        <v>8775.7600355080995</v>
      </c>
      <c r="L15" s="22">
        <f t="shared" si="125"/>
        <v>9311.297808055162</v>
      </c>
      <c r="M15" s="22">
        <f t="shared" si="125"/>
        <v>9886.3818653492999</v>
      </c>
      <c r="N15" s="22">
        <f t="shared" si="125"/>
        <v>10503.93246571302</v>
      </c>
      <c r="O15" s="22">
        <f t="shared" si="125"/>
        <v>11167.085511206911</v>
      </c>
      <c r="P15" s="22">
        <f t="shared" si="125"/>
        <v>11879.208471639318</v>
      </c>
      <c r="Q15" s="22">
        <f t="shared" si="125"/>
        <v>12643.917484469583</v>
      </c>
      <c r="R15" s="22">
        <f t="shared" si="125"/>
        <v>13465.095717437596</v>
      </c>
      <c r="S15" s="22">
        <f t="shared" si="125"/>
        <v>14346.913087164541</v>
      </c>
      <c r="T15" s="22">
        <f t="shared" si="125"/>
        <v>15293.84743385519</v>
      </c>
      <c r="U15" s="22">
        <f t="shared" si="125"/>
        <v>16310.707259626255</v>
      </c>
      <c r="V15" s="22">
        <f t="shared" si="125"/>
        <v>17402.656145925303</v>
      </c>
      <c r="W15" s="22">
        <f t="shared" ref="W15" si="126">W14*7.5%</f>
        <v>18575.238974031017</v>
      </c>
      <c r="X15" s="22">
        <f t="shared" ref="X15" si="127">X14*7.5%</f>
        <v>19834.4100817818</v>
      </c>
      <c r="Y15" s="22">
        <f t="shared" ref="Y15" si="128">Y14*7.5%</f>
        <v>21186.563499511525</v>
      </c>
      <c r="Z15" s="22">
        <f t="shared" ref="Z15" si="129">Z14*7.5%</f>
        <v>22638.565418729671</v>
      </c>
      <c r="AA15" s="22">
        <f t="shared" ref="AA15" si="130">AA14*7.5%</f>
        <v>24197.789058420683</v>
      </c>
      <c r="AB15" s="22">
        <f t="shared" ref="AB15" si="131">AB14*7.5%</f>
        <v>25872.152106012516</v>
      </c>
      <c r="AC15" s="22">
        <f t="shared" ref="AC15" si="132">AC14*7.5%</f>
        <v>27670.156923138413</v>
      </c>
      <c r="AD15" s="22">
        <f t="shared" ref="AD15" si="133">AD14*7.5%</f>
        <v>29600.933720355453</v>
      </c>
      <c r="AE15" s="22">
        <f t="shared" ref="AE15" si="134">AE14*7.5%</f>
        <v>31674.286920059742</v>
      </c>
      <c r="AF15" s="22">
        <f t="shared" ref="AF15" si="135">AF14*7.5%</f>
        <v>33900.744943027559</v>
      </c>
      <c r="AG15" s="22">
        <f t="shared" ref="AG15" si="136">AG14*7.5%</f>
        <v>36291.613671397048</v>
      </c>
      <c r="AH15" s="22">
        <f t="shared" ref="AH15" si="137">AH14*7.5%</f>
        <v>38859.033859573545</v>
      </c>
      <c r="AI15" s="22">
        <f t="shared" ref="AI15" si="138">AI14*7.5%</f>
        <v>41616.04278458951</v>
      </c>
      <c r="AJ15" s="22">
        <f t="shared" ref="AJ15" si="139">AJ14*7.5%</f>
        <v>44576.640448977407</v>
      </c>
      <c r="AK15" s="22">
        <f t="shared" ref="AK15" si="140">AK14*7.5%</f>
        <v>47755.860672331728</v>
      </c>
      <c r="AL15" s="22">
        <f t="shared" ref="AL15" si="141">AL14*7.5%</f>
        <v>51169.84743256068</v>
      </c>
      <c r="AM15" s="22">
        <f t="shared" ref="AM15" si="142">AM14*7.5%</f>
        <v>54835.936844486154</v>
      </c>
      <c r="AN15" s="22">
        <f t="shared" ref="AN15" si="143">AN14*7.5%</f>
        <v>58772.745192076443</v>
      </c>
      <c r="AO15" s="22">
        <f t="shared" ref="AO15" si="144">AO14*7.5%</f>
        <v>63000.263461336712</v>
      </c>
      <c r="AP15" s="22">
        <f t="shared" ref="AP15" si="145">AP14*7.5%</f>
        <v>67539.958853892123</v>
      </c>
      <c r="AQ15" s="22">
        <f t="shared" ref="AQ15" si="146">AQ14*7.5%</f>
        <v>72414.883796746362</v>
      </c>
      <c r="AR15" s="22">
        <f t="shared" ref="AR15" si="147">AR14*7.5%</f>
        <v>77649.793001763537</v>
      </c>
      <c r="AS15" s="22">
        <f t="shared" ref="AS15" si="148">AS14*7.5%</f>
        <v>83271.269169297811</v>
      </c>
      <c r="AT15" s="22">
        <f t="shared" ref="AT15" si="149">AT14*7.5%</f>
        <v>89307.857974289756</v>
      </c>
      <c r="AU15" s="22">
        <f t="shared" ref="AU15" si="150">AU14*7.5%</f>
        <v>95790.213020284325</v>
      </c>
    </row>
    <row r="16" spans="1:47" x14ac:dyDescent="0.25">
      <c r="A16" s="9" t="s">
        <v>6</v>
      </c>
      <c r="B16" s="2" t="s">
        <v>32</v>
      </c>
      <c r="C16" s="24">
        <f>SUM(C18:C20)</f>
        <v>-86.6953125</v>
      </c>
      <c r="D16" s="24">
        <f>SUM(D18:D20)</f>
        <v>-91.363340324707039</v>
      </c>
      <c r="E16" s="24">
        <f t="shared" ref="E16:V16" si="151">SUM(E18:E20)</f>
        <v>-96.37607428785347</v>
      </c>
      <c r="F16" s="24">
        <f>SUM(F18:F20)</f>
        <v>-101.75896889107035</v>
      </c>
      <c r="G16" s="24">
        <f>SUM(G18:G20)</f>
        <v>-107.53935829979811</v>
      </c>
      <c r="H16" s="24">
        <f t="shared" si="151"/>
        <v>-113.7465951452983</v>
      </c>
      <c r="I16" s="24">
        <f t="shared" si="151"/>
        <v>-120.41219957636989</v>
      </c>
      <c r="J16" s="24">
        <f t="shared" si="151"/>
        <v>-127.57001931764982</v>
      </c>
      <c r="K16" s="24">
        <f t="shared" si="151"/>
        <v>-135.25640154726861</v>
      </c>
      <c r="L16" s="24">
        <f t="shared" si="151"/>
        <v>-143.51037746665017</v>
      </c>
      <c r="M16" s="24">
        <f t="shared" si="151"/>
        <v>-152.37386049969606</v>
      </c>
      <c r="N16" s="24">
        <f t="shared" si="151"/>
        <v>-161.89185912780195</v>
      </c>
      <c r="O16" s="24">
        <f t="shared" si="151"/>
        <v>-172.11270544147655</v>
      </c>
      <c r="P16" s="24">
        <f t="shared" si="151"/>
        <v>-183.08830056914101</v>
      </c>
      <c r="Q16" s="24">
        <f t="shared" si="151"/>
        <v>-194.87437822938745</v>
      </c>
      <c r="R16" s="24">
        <f t="shared" si="151"/>
        <v>-207.53078774500699</v>
      </c>
      <c r="S16" s="24">
        <f t="shared" si="151"/>
        <v>-221.12179795592348</v>
      </c>
      <c r="T16" s="24">
        <f t="shared" si="151"/>
        <v>-235.71642357429309</v>
      </c>
      <c r="U16" s="24">
        <f t="shared" si="151"/>
        <v>-251.38877563898964</v>
      </c>
      <c r="V16" s="24">
        <f t="shared" si="151"/>
        <v>-268.21843784907367</v>
      </c>
      <c r="W16" s="24">
        <f t="shared" ref="W16:Y16" si="152">SUM(W18:W20)</f>
        <v>-286.290870687253</v>
      </c>
      <c r="X16" s="24">
        <f t="shared" si="152"/>
        <v>-305.69784538546202</v>
      </c>
      <c r="Y16" s="24">
        <f t="shared" si="152"/>
        <v>-326.53790993622141</v>
      </c>
      <c r="Z16" s="24">
        <f t="shared" ref="Z16:AI16" si="153">SUM(Z18:Z20)</f>
        <v>-348.91688951617107</v>
      </c>
      <c r="AA16" s="24">
        <f t="shared" si="153"/>
        <v>-372.94842386290878</v>
      </c>
      <c r="AB16" s="24">
        <f t="shared" si="153"/>
        <v>-398.75454433391792</v>
      </c>
      <c r="AC16" s="24">
        <f t="shared" si="153"/>
        <v>-426.46629357787083</v>
      </c>
      <c r="AD16" s="24">
        <f t="shared" si="153"/>
        <v>-456.22439096497845</v>
      </c>
      <c r="AE16" s="24">
        <f t="shared" si="153"/>
        <v>-488.17994715542079</v>
      </c>
      <c r="AF16" s="24">
        <f t="shared" si="153"/>
        <v>-522.49523143441229</v>
      </c>
      <c r="AG16" s="24">
        <f t="shared" si="153"/>
        <v>-559.34449571040693</v>
      </c>
      <c r="AH16" s="24">
        <f t="shared" si="153"/>
        <v>-598.91485936067727</v>
      </c>
      <c r="AI16" s="24">
        <f t="shared" si="153"/>
        <v>-641.40725941748576</v>
      </c>
      <c r="AJ16" s="24">
        <f t="shared" ref="AJ16:AU16" si="154">SUM(AJ18:AJ20)</f>
        <v>-687.03747091986418</v>
      </c>
      <c r="AK16" s="24">
        <f t="shared" si="154"/>
        <v>-736.03720261231274</v>
      </c>
      <c r="AL16" s="24">
        <f t="shared" si="154"/>
        <v>-788.65527355434142</v>
      </c>
      <c r="AM16" s="24">
        <f t="shared" si="154"/>
        <v>-845.15887661564295</v>
      </c>
      <c r="AN16" s="24">
        <f t="shared" si="154"/>
        <v>-905.83493527287817</v>
      </c>
      <c r="AO16" s="24">
        <f t="shared" si="154"/>
        <v>-970.99156059785207</v>
      </c>
      <c r="AP16" s="24">
        <f t="shared" si="154"/>
        <v>-1040.9596158356126</v>
      </c>
      <c r="AQ16" s="24">
        <f t="shared" si="154"/>
        <v>-1116.0943965173533</v>
      </c>
      <c r="AR16" s="24">
        <f t="shared" si="154"/>
        <v>-1196.7774346396805</v>
      </c>
      <c r="AS16" s="24">
        <f t="shared" si="154"/>
        <v>-1283.4184360718025</v>
      </c>
      <c r="AT16" s="24">
        <f t="shared" si="154"/>
        <v>-1376.4573610287409</v>
      </c>
      <c r="AU16" s="24">
        <f t="shared" si="154"/>
        <v>-1476.3666581751322</v>
      </c>
    </row>
    <row r="17" spans="1:47" x14ac:dyDescent="0.25">
      <c r="B17" s="20" t="s">
        <v>29</v>
      </c>
      <c r="C17" s="25">
        <f>C15*5%</f>
        <v>281.25</v>
      </c>
      <c r="D17" s="25">
        <f>D15*5%</f>
        <v>296.39364257812503</v>
      </c>
      <c r="E17" s="25">
        <f t="shared" ref="E17:V17" si="155">E15*5%</f>
        <v>312.65555324526673</v>
      </c>
      <c r="F17" s="25">
        <f t="shared" si="155"/>
        <v>330.11830946008229</v>
      </c>
      <c r="G17" s="25">
        <f t="shared" si="155"/>
        <v>348.87058653624695</v>
      </c>
      <c r="H17" s="25">
        <f t="shared" si="155"/>
        <v>369.00760793284121</v>
      </c>
      <c r="I17" s="25">
        <f t="shared" si="155"/>
        <v>390.63162879600941</v>
      </c>
      <c r="J17" s="25">
        <f t="shared" si="155"/>
        <v>413.8524552072987</v>
      </c>
      <c r="K17" s="25">
        <f t="shared" si="155"/>
        <v>438.78800177540501</v>
      </c>
      <c r="L17" s="25">
        <f t="shared" si="155"/>
        <v>465.56489040275812</v>
      </c>
      <c r="M17" s="25">
        <f t="shared" si="155"/>
        <v>494.31909326746501</v>
      </c>
      <c r="N17" s="25">
        <f t="shared" si="155"/>
        <v>525.19662328565107</v>
      </c>
      <c r="O17" s="25">
        <f t="shared" si="155"/>
        <v>558.35427556034563</v>
      </c>
      <c r="P17" s="25">
        <f t="shared" si="155"/>
        <v>593.96042358196598</v>
      </c>
      <c r="Q17" s="25">
        <f t="shared" si="155"/>
        <v>632.19587422347922</v>
      </c>
      <c r="R17" s="25">
        <f t="shared" si="155"/>
        <v>673.2547858718799</v>
      </c>
      <c r="S17" s="25">
        <f t="shared" si="155"/>
        <v>717.34565435822708</v>
      </c>
      <c r="T17" s="25">
        <f t="shared" si="155"/>
        <v>764.69237169275948</v>
      </c>
      <c r="U17" s="25">
        <f t="shared" si="155"/>
        <v>815.5353629813128</v>
      </c>
      <c r="V17" s="25">
        <f t="shared" si="155"/>
        <v>870.13280729626513</v>
      </c>
      <c r="W17" s="25">
        <f t="shared" ref="W17:Y17" si="156">W15*5%</f>
        <v>928.76194870155086</v>
      </c>
      <c r="X17" s="25">
        <f t="shared" si="156"/>
        <v>991.72050408909001</v>
      </c>
      <c r="Y17" s="25">
        <f t="shared" si="156"/>
        <v>1059.3281749755763</v>
      </c>
      <c r="Z17" s="25">
        <f t="shared" ref="Z17:AI17" si="157">Z15*5%</f>
        <v>1131.9282709364836</v>
      </c>
      <c r="AA17" s="25">
        <f t="shared" si="157"/>
        <v>1209.8894529210343</v>
      </c>
      <c r="AB17" s="25">
        <f t="shared" si="157"/>
        <v>1293.6076053006259</v>
      </c>
      <c r="AC17" s="25">
        <f t="shared" si="157"/>
        <v>1383.5078461569208</v>
      </c>
      <c r="AD17" s="25">
        <f t="shared" si="157"/>
        <v>1480.0466860177728</v>
      </c>
      <c r="AE17" s="25">
        <f t="shared" si="157"/>
        <v>1583.7143460029872</v>
      </c>
      <c r="AF17" s="25">
        <f t="shared" si="157"/>
        <v>1695.0372471513781</v>
      </c>
      <c r="AG17" s="25">
        <f t="shared" si="157"/>
        <v>1814.5806835698525</v>
      </c>
      <c r="AH17" s="25">
        <f t="shared" si="157"/>
        <v>1942.9516929786773</v>
      </c>
      <c r="AI17" s="25">
        <f t="shared" si="157"/>
        <v>2080.8021392294754</v>
      </c>
      <c r="AJ17" s="25">
        <f t="shared" ref="AJ17:AU17" si="158">AJ15*5%</f>
        <v>2228.8320224488702</v>
      </c>
      <c r="AK17" s="25">
        <f t="shared" si="158"/>
        <v>2387.7930336165864</v>
      </c>
      <c r="AL17" s="25">
        <f t="shared" si="158"/>
        <v>2558.4923716280341</v>
      </c>
      <c r="AM17" s="25">
        <f t="shared" si="158"/>
        <v>2741.796842224308</v>
      </c>
      <c r="AN17" s="25">
        <f t="shared" si="158"/>
        <v>2938.6372596038223</v>
      </c>
      <c r="AO17" s="25">
        <f t="shared" si="158"/>
        <v>3150.0131730668359</v>
      </c>
      <c r="AP17" s="25">
        <f t="shared" si="158"/>
        <v>3376.9979426946065</v>
      </c>
      <c r="AQ17" s="25">
        <f t="shared" si="158"/>
        <v>3620.7441898373181</v>
      </c>
      <c r="AR17" s="25">
        <f t="shared" si="158"/>
        <v>3882.4896500881769</v>
      </c>
      <c r="AS17" s="25">
        <f t="shared" si="158"/>
        <v>4163.5634584648906</v>
      </c>
      <c r="AT17" s="25">
        <f t="shared" si="158"/>
        <v>4465.3928987144882</v>
      </c>
      <c r="AU17" s="25">
        <f t="shared" si="158"/>
        <v>4789.5106510142168</v>
      </c>
    </row>
    <row r="18" spans="1:47" x14ac:dyDescent="0.25">
      <c r="B18" s="15" t="s">
        <v>20</v>
      </c>
      <c r="C18" s="22">
        <f>-C17*0.15</f>
        <v>-42.1875</v>
      </c>
      <c r="D18" s="22">
        <f>-D17*0.15</f>
        <v>-44.459046386718754</v>
      </c>
      <c r="E18" s="22">
        <f t="shared" ref="E18:V18" si="159">-E17*0.15</f>
        <v>-46.89833298679001</v>
      </c>
      <c r="F18" s="22">
        <f t="shared" si="159"/>
        <v>-49.51774641901234</v>
      </c>
      <c r="G18" s="22">
        <f t="shared" si="159"/>
        <v>-52.330587980437038</v>
      </c>
      <c r="H18" s="22">
        <f t="shared" si="159"/>
        <v>-55.351141189926182</v>
      </c>
      <c r="I18" s="22">
        <f t="shared" si="159"/>
        <v>-58.594744319401407</v>
      </c>
      <c r="J18" s="22">
        <f t="shared" si="159"/>
        <v>-62.077868281094801</v>
      </c>
      <c r="K18" s="22">
        <f t="shared" si="159"/>
        <v>-65.818200266310754</v>
      </c>
      <c r="L18" s="22">
        <f t="shared" si="159"/>
        <v>-69.83473356041371</v>
      </c>
      <c r="M18" s="22">
        <f t="shared" si="159"/>
        <v>-74.147863990119745</v>
      </c>
      <c r="N18" s="22">
        <f t="shared" si="159"/>
        <v>-78.779493492847664</v>
      </c>
      <c r="O18" s="22">
        <f t="shared" si="159"/>
        <v>-83.753141334051847</v>
      </c>
      <c r="P18" s="22">
        <f t="shared" si="159"/>
        <v>-89.0940635372949</v>
      </c>
      <c r="Q18" s="22">
        <f t="shared" si="159"/>
        <v>-94.829381133521878</v>
      </c>
      <c r="R18" s="22">
        <f t="shared" si="159"/>
        <v>-100.98821788078199</v>
      </c>
      <c r="S18" s="22">
        <f t="shared" si="159"/>
        <v>-107.60184815373405</v>
      </c>
      <c r="T18" s="22">
        <f t="shared" si="159"/>
        <v>-114.70385575391391</v>
      </c>
      <c r="U18" s="22">
        <f t="shared" si="159"/>
        <v>-122.33030444719691</v>
      </c>
      <c r="V18" s="22">
        <f t="shared" si="159"/>
        <v>-130.51992109443975</v>
      </c>
      <c r="W18" s="22">
        <f t="shared" ref="W18" si="160">-W17*0.15</f>
        <v>-139.31429230523261</v>
      </c>
      <c r="X18" s="22">
        <f t="shared" ref="X18" si="161">-X17*0.15</f>
        <v>-148.7580756133635</v>
      </c>
      <c r="Y18" s="22">
        <f t="shared" ref="Y18" si="162">-Y17*0.15</f>
        <v>-158.89922624633644</v>
      </c>
      <c r="Z18" s="22">
        <f t="shared" ref="Z18" si="163">-Z17*0.15</f>
        <v>-169.78924064047254</v>
      </c>
      <c r="AA18" s="22">
        <f t="shared" ref="AA18" si="164">-AA17*0.15</f>
        <v>-181.48341793815513</v>
      </c>
      <c r="AB18" s="22">
        <f t="shared" ref="AB18" si="165">-AB17*0.15</f>
        <v>-194.04114079509387</v>
      </c>
      <c r="AC18" s="22">
        <f t="shared" ref="AC18" si="166">-AC17*0.15</f>
        <v>-207.52617692353812</v>
      </c>
      <c r="AD18" s="22">
        <f t="shared" ref="AD18" si="167">-AD17*0.15</f>
        <v>-222.0070029026659</v>
      </c>
      <c r="AE18" s="22">
        <f t="shared" ref="AE18" si="168">-AE17*0.15</f>
        <v>-237.55715190044808</v>
      </c>
      <c r="AF18" s="22">
        <f t="shared" ref="AF18" si="169">-AF17*0.15</f>
        <v>-254.2555870727067</v>
      </c>
      <c r="AG18" s="22">
        <f t="shared" ref="AG18" si="170">-AG17*0.15</f>
        <v>-272.18710253547783</v>
      </c>
      <c r="AH18" s="22">
        <f t="shared" ref="AH18" si="171">-AH17*0.15</f>
        <v>-291.44275394680159</v>
      </c>
      <c r="AI18" s="22">
        <f t="shared" ref="AI18" si="172">-AI17*0.15</f>
        <v>-312.12032088442129</v>
      </c>
      <c r="AJ18" s="22">
        <f t="shared" ref="AJ18" si="173">-AJ17*0.15</f>
        <v>-334.3248033673305</v>
      </c>
      <c r="AK18" s="22">
        <f t="shared" ref="AK18" si="174">-AK17*0.15</f>
        <v>-358.16895504248794</v>
      </c>
      <c r="AL18" s="22">
        <f t="shared" ref="AL18" si="175">-AL17*0.15</f>
        <v>-383.77385574420509</v>
      </c>
      <c r="AM18" s="22">
        <f t="shared" ref="AM18" si="176">-AM17*0.15</f>
        <v>-411.26952633364618</v>
      </c>
      <c r="AN18" s="22">
        <f t="shared" ref="AN18" si="177">-AN17*0.15</f>
        <v>-440.79558894057334</v>
      </c>
      <c r="AO18" s="22">
        <f t="shared" ref="AO18" si="178">-AO17*0.15</f>
        <v>-472.50197596002533</v>
      </c>
      <c r="AP18" s="22">
        <f t="shared" ref="AP18" si="179">-AP17*0.15</f>
        <v>-506.54969140419098</v>
      </c>
      <c r="AQ18" s="22">
        <f t="shared" ref="AQ18" si="180">-AQ17*0.15</f>
        <v>-543.11162847559774</v>
      </c>
      <c r="AR18" s="22">
        <f t="shared" ref="AR18" si="181">-AR17*0.15</f>
        <v>-582.37344751322655</v>
      </c>
      <c r="AS18" s="22">
        <f t="shared" ref="AS18" si="182">-AS17*0.15</f>
        <v>-624.53451876973361</v>
      </c>
      <c r="AT18" s="22">
        <f t="shared" ref="AT18" si="183">-AT17*0.15</f>
        <v>-669.80893480717316</v>
      </c>
      <c r="AU18" s="22">
        <f t="shared" ref="AU18" si="184">-AU17*0.15</f>
        <v>-718.4265976521325</v>
      </c>
    </row>
    <row r="19" spans="1:47" x14ac:dyDescent="0.25">
      <c r="B19" s="15" t="s">
        <v>19</v>
      </c>
      <c r="C19" s="22">
        <f>-C17*0.15</f>
        <v>-42.1875</v>
      </c>
      <c r="D19" s="22">
        <f>-D17*0.15</f>
        <v>-44.459046386718754</v>
      </c>
      <c r="E19" s="22">
        <f t="shared" ref="E19:V19" si="185">-E17*0.15</f>
        <v>-46.89833298679001</v>
      </c>
      <c r="F19" s="22">
        <f t="shared" si="185"/>
        <v>-49.51774641901234</v>
      </c>
      <c r="G19" s="22">
        <f t="shared" si="185"/>
        <v>-52.330587980437038</v>
      </c>
      <c r="H19" s="22">
        <f t="shared" si="185"/>
        <v>-55.351141189926182</v>
      </c>
      <c r="I19" s="22">
        <f t="shared" si="185"/>
        <v>-58.594744319401407</v>
      </c>
      <c r="J19" s="22">
        <f t="shared" si="185"/>
        <v>-62.077868281094801</v>
      </c>
      <c r="K19" s="22">
        <f t="shared" si="185"/>
        <v>-65.818200266310754</v>
      </c>
      <c r="L19" s="22">
        <f t="shared" si="185"/>
        <v>-69.83473356041371</v>
      </c>
      <c r="M19" s="22">
        <f t="shared" si="185"/>
        <v>-74.147863990119745</v>
      </c>
      <c r="N19" s="22">
        <f t="shared" si="185"/>
        <v>-78.779493492847664</v>
      </c>
      <c r="O19" s="22">
        <f t="shared" si="185"/>
        <v>-83.753141334051847</v>
      </c>
      <c r="P19" s="22">
        <f t="shared" si="185"/>
        <v>-89.0940635372949</v>
      </c>
      <c r="Q19" s="22">
        <f t="shared" si="185"/>
        <v>-94.829381133521878</v>
      </c>
      <c r="R19" s="22">
        <f t="shared" si="185"/>
        <v>-100.98821788078199</v>
      </c>
      <c r="S19" s="22">
        <f t="shared" si="185"/>
        <v>-107.60184815373405</v>
      </c>
      <c r="T19" s="22">
        <f t="shared" si="185"/>
        <v>-114.70385575391391</v>
      </c>
      <c r="U19" s="22">
        <f t="shared" si="185"/>
        <v>-122.33030444719691</v>
      </c>
      <c r="V19" s="22">
        <f t="shared" si="185"/>
        <v>-130.51992109443975</v>
      </c>
      <c r="W19" s="22">
        <f t="shared" ref="W19:Y19" si="186">-W17*0.15</f>
        <v>-139.31429230523261</v>
      </c>
      <c r="X19" s="22">
        <f t="shared" si="186"/>
        <v>-148.7580756133635</v>
      </c>
      <c r="Y19" s="22">
        <f t="shared" si="186"/>
        <v>-158.89922624633644</v>
      </c>
      <c r="Z19" s="22">
        <f t="shared" ref="Z19:AI19" si="187">-Z17*0.15</f>
        <v>-169.78924064047254</v>
      </c>
      <c r="AA19" s="22">
        <f t="shared" si="187"/>
        <v>-181.48341793815513</v>
      </c>
      <c r="AB19" s="22">
        <f t="shared" si="187"/>
        <v>-194.04114079509387</v>
      </c>
      <c r="AC19" s="22">
        <f t="shared" si="187"/>
        <v>-207.52617692353812</v>
      </c>
      <c r="AD19" s="22">
        <f t="shared" si="187"/>
        <v>-222.0070029026659</v>
      </c>
      <c r="AE19" s="22">
        <f t="shared" si="187"/>
        <v>-237.55715190044808</v>
      </c>
      <c r="AF19" s="22">
        <f t="shared" si="187"/>
        <v>-254.2555870727067</v>
      </c>
      <c r="AG19" s="22">
        <f t="shared" si="187"/>
        <v>-272.18710253547783</v>
      </c>
      <c r="AH19" s="22">
        <f t="shared" si="187"/>
        <v>-291.44275394680159</v>
      </c>
      <c r="AI19" s="22">
        <f t="shared" si="187"/>
        <v>-312.12032088442129</v>
      </c>
      <c r="AJ19" s="22">
        <f t="shared" ref="AJ19:AU19" si="188">-AJ17*0.15</f>
        <v>-334.3248033673305</v>
      </c>
      <c r="AK19" s="22">
        <f t="shared" si="188"/>
        <v>-358.16895504248794</v>
      </c>
      <c r="AL19" s="22">
        <f t="shared" si="188"/>
        <v>-383.77385574420509</v>
      </c>
      <c r="AM19" s="22">
        <f t="shared" si="188"/>
        <v>-411.26952633364618</v>
      </c>
      <c r="AN19" s="22">
        <f t="shared" si="188"/>
        <v>-440.79558894057334</v>
      </c>
      <c r="AO19" s="22">
        <f t="shared" si="188"/>
        <v>-472.50197596002533</v>
      </c>
      <c r="AP19" s="22">
        <f t="shared" si="188"/>
        <v>-506.54969140419098</v>
      </c>
      <c r="AQ19" s="22">
        <f t="shared" si="188"/>
        <v>-543.11162847559774</v>
      </c>
      <c r="AR19" s="22">
        <f t="shared" si="188"/>
        <v>-582.37344751322655</v>
      </c>
      <c r="AS19" s="22">
        <f t="shared" si="188"/>
        <v>-624.53451876973361</v>
      </c>
      <c r="AT19" s="22">
        <f t="shared" si="188"/>
        <v>-669.80893480717316</v>
      </c>
      <c r="AU19" s="22">
        <f t="shared" si="188"/>
        <v>-718.4265976521325</v>
      </c>
    </row>
    <row r="20" spans="1:47" x14ac:dyDescent="0.25">
      <c r="B20" s="15" t="s">
        <v>21</v>
      </c>
      <c r="C20" s="22">
        <f>C19*5.5%</f>
        <v>-2.3203125</v>
      </c>
      <c r="D20" s="22">
        <f>D19*5.5%</f>
        <v>-2.4452475512695315</v>
      </c>
      <c r="E20" s="22">
        <f t="shared" ref="E20:V20" si="189">E19*5.5%</f>
        <v>-2.5794083142734507</v>
      </c>
      <c r="F20" s="22">
        <f t="shared" si="189"/>
        <v>-2.7234760530456787</v>
      </c>
      <c r="G20" s="22">
        <f t="shared" si="189"/>
        <v>-2.8781823389240371</v>
      </c>
      <c r="H20" s="22">
        <f t="shared" si="189"/>
        <v>-3.0443127654459401</v>
      </c>
      <c r="I20" s="22">
        <f t="shared" si="189"/>
        <v>-3.2227109375670775</v>
      </c>
      <c r="J20" s="22">
        <f t="shared" si="189"/>
        <v>-3.414282755460214</v>
      </c>
      <c r="K20" s="22">
        <f t="shared" si="189"/>
        <v>-3.6200010146470913</v>
      </c>
      <c r="L20" s="22">
        <f t="shared" si="189"/>
        <v>-3.840910345822754</v>
      </c>
      <c r="M20" s="22">
        <f t="shared" si="189"/>
        <v>-4.0781325194565863</v>
      </c>
      <c r="N20" s="22">
        <f t="shared" si="189"/>
        <v>-4.3328721421066216</v>
      </c>
      <c r="O20" s="22">
        <f t="shared" si="189"/>
        <v>-4.6064227733728513</v>
      </c>
      <c r="P20" s="22">
        <f t="shared" si="189"/>
        <v>-4.9001734945512192</v>
      </c>
      <c r="Q20" s="22">
        <f t="shared" si="189"/>
        <v>-5.2156159623437031</v>
      </c>
      <c r="R20" s="22">
        <f t="shared" si="189"/>
        <v>-5.5543519834430093</v>
      </c>
      <c r="S20" s="22">
        <f t="shared" si="189"/>
        <v>-5.918101648455373</v>
      </c>
      <c r="T20" s="22">
        <f t="shared" si="189"/>
        <v>-6.3087120664652652</v>
      </c>
      <c r="U20" s="22">
        <f t="shared" si="189"/>
        <v>-6.7281667445958302</v>
      </c>
      <c r="V20" s="22">
        <f t="shared" si="189"/>
        <v>-7.178595660194186</v>
      </c>
      <c r="W20" s="22">
        <f t="shared" ref="W20" si="190">W19*5.5%</f>
        <v>-7.6622860767877938</v>
      </c>
      <c r="X20" s="22">
        <f t="shared" ref="X20" si="191">X19*5.5%</f>
        <v>-8.1816941587349934</v>
      </c>
      <c r="Y20" s="22">
        <f t="shared" ref="Y20" si="192">Y19*5.5%</f>
        <v>-8.7394574435485044</v>
      </c>
      <c r="Z20" s="22">
        <f t="shared" ref="Z20" si="193">Z19*5.5%</f>
        <v>-9.3384082352259892</v>
      </c>
      <c r="AA20" s="22">
        <f t="shared" ref="AA20" si="194">AA19*5.5%</f>
        <v>-9.981587986598532</v>
      </c>
      <c r="AB20" s="22">
        <f t="shared" ref="AB20" si="195">AB19*5.5%</f>
        <v>-10.672262743730164</v>
      </c>
      <c r="AC20" s="22">
        <f t="shared" ref="AC20" si="196">AC19*5.5%</f>
        <v>-11.413939730794597</v>
      </c>
      <c r="AD20" s="22">
        <f t="shared" ref="AD20" si="197">AD19*5.5%</f>
        <v>-12.210385159646625</v>
      </c>
      <c r="AE20" s="22">
        <f t="shared" ref="AE20" si="198">AE19*5.5%</f>
        <v>-13.065643354524644</v>
      </c>
      <c r="AF20" s="22">
        <f t="shared" ref="AF20" si="199">AF19*5.5%</f>
        <v>-13.984057288998869</v>
      </c>
      <c r="AG20" s="22">
        <f t="shared" ref="AG20" si="200">AG19*5.5%</f>
        <v>-14.970290639451282</v>
      </c>
      <c r="AH20" s="22">
        <f t="shared" ref="AH20" si="201">AH19*5.5%</f>
        <v>-16.029351467074086</v>
      </c>
      <c r="AI20" s="22">
        <f t="shared" ref="AI20" si="202">AI19*5.5%</f>
        <v>-17.166617648643172</v>
      </c>
      <c r="AJ20" s="22">
        <f t="shared" ref="AJ20" si="203">AJ19*5.5%</f>
        <v>-18.387864185203178</v>
      </c>
      <c r="AK20" s="22">
        <f t="shared" ref="AK20" si="204">AK19*5.5%</f>
        <v>-19.699292527336837</v>
      </c>
      <c r="AL20" s="22">
        <f t="shared" ref="AL20" si="205">AL19*5.5%</f>
        <v>-21.10756206593128</v>
      </c>
      <c r="AM20" s="22">
        <f t="shared" ref="AM20" si="206">AM19*5.5%</f>
        <v>-22.61982394835054</v>
      </c>
      <c r="AN20" s="22">
        <f t="shared" ref="AN20" si="207">AN19*5.5%</f>
        <v>-24.243757391731535</v>
      </c>
      <c r="AO20" s="22">
        <f t="shared" ref="AO20" si="208">AO19*5.5%</f>
        <v>-25.987608677801393</v>
      </c>
      <c r="AP20" s="22">
        <f t="shared" ref="AP20" si="209">AP19*5.5%</f>
        <v>-27.860233027230503</v>
      </c>
      <c r="AQ20" s="22">
        <f t="shared" ref="AQ20" si="210">AQ19*5.5%</f>
        <v>-29.871139566157876</v>
      </c>
      <c r="AR20" s="22">
        <f t="shared" ref="AR20" si="211">AR19*5.5%</f>
        <v>-32.030539613227461</v>
      </c>
      <c r="AS20" s="22">
        <f t="shared" ref="AS20" si="212">AS19*5.5%</f>
        <v>-34.34939853233535</v>
      </c>
      <c r="AT20" s="22">
        <f t="shared" ref="AT20" si="213">AT19*5.5%</f>
        <v>-36.839491414394523</v>
      </c>
      <c r="AU20" s="22">
        <f t="shared" ref="AU20" si="214">AU19*5.5%</f>
        <v>-39.513462870867286</v>
      </c>
    </row>
    <row r="21" spans="1:47" x14ac:dyDescent="0.25">
      <c r="A21" s="2" t="s">
        <v>6</v>
      </c>
      <c r="B21" s="15" t="s">
        <v>39</v>
      </c>
      <c r="C21" s="22">
        <v>-1500</v>
      </c>
      <c r="D21" s="22">
        <v>-1500</v>
      </c>
      <c r="E21" s="22">
        <v>-1500</v>
      </c>
      <c r="F21" s="22">
        <v>-1500</v>
      </c>
      <c r="G21" s="22">
        <v>-1500</v>
      </c>
      <c r="H21" s="22">
        <v>-1500</v>
      </c>
      <c r="I21" s="22">
        <v>-1500</v>
      </c>
      <c r="J21" s="22">
        <v>-1500</v>
      </c>
      <c r="K21" s="22">
        <v>-1500</v>
      </c>
      <c r="L21" s="22">
        <v>-1500</v>
      </c>
      <c r="M21" s="22">
        <v>-1500</v>
      </c>
      <c r="N21" s="22">
        <v>-1500</v>
      </c>
      <c r="O21" s="22">
        <v>-1500</v>
      </c>
      <c r="P21" s="22">
        <v>-1500</v>
      </c>
      <c r="Q21" s="22">
        <v>-1500</v>
      </c>
      <c r="R21" s="22">
        <v>-1500</v>
      </c>
      <c r="S21" s="22">
        <v>-1500</v>
      </c>
      <c r="T21" s="22">
        <v>-1500</v>
      </c>
      <c r="U21" s="22">
        <v>-1500</v>
      </c>
      <c r="V21" s="22">
        <v>-1500</v>
      </c>
      <c r="W21" s="22">
        <v>-1500</v>
      </c>
      <c r="X21" s="22">
        <v>-1500</v>
      </c>
      <c r="Y21" s="22">
        <v>-1500</v>
      </c>
      <c r="Z21" s="22">
        <v>-1500</v>
      </c>
      <c r="AA21" s="22">
        <v>-1500</v>
      </c>
      <c r="AB21" s="22">
        <v>-1500</v>
      </c>
      <c r="AC21" s="22">
        <v>-1500</v>
      </c>
      <c r="AD21" s="22">
        <v>-1500</v>
      </c>
      <c r="AE21" s="22">
        <v>-1500</v>
      </c>
      <c r="AF21" s="22">
        <v>-1500</v>
      </c>
      <c r="AG21" s="22">
        <v>-1500</v>
      </c>
      <c r="AH21" s="22">
        <v>-1500</v>
      </c>
      <c r="AI21" s="22">
        <v>-1500</v>
      </c>
      <c r="AJ21" s="22">
        <v>-1500</v>
      </c>
      <c r="AK21" s="22">
        <v>-1500</v>
      </c>
      <c r="AL21" s="22">
        <v>-1500</v>
      </c>
      <c r="AM21" s="22">
        <v>-1500</v>
      </c>
      <c r="AN21" s="22">
        <v>-1500</v>
      </c>
      <c r="AO21" s="22">
        <v>-1500</v>
      </c>
      <c r="AP21" s="22">
        <v>-1500</v>
      </c>
      <c r="AQ21" s="22">
        <v>-1500</v>
      </c>
      <c r="AR21" s="22">
        <v>-1500</v>
      </c>
      <c r="AS21" s="22">
        <v>-1500</v>
      </c>
      <c r="AT21" s="22">
        <v>-1500</v>
      </c>
      <c r="AU21" s="22">
        <v>-1500</v>
      </c>
    </row>
    <row r="22" spans="1:47" x14ac:dyDescent="0.25">
      <c r="A22" s="9" t="s">
        <v>1</v>
      </c>
      <c r="B22" s="9" t="s">
        <v>8</v>
      </c>
      <c r="C22" s="24">
        <f>SUM(C15,C16,C21)</f>
        <v>4038.3046875</v>
      </c>
      <c r="D22" s="24">
        <f t="shared" ref="D22:AU22" si="215">SUM(D15,D16,D21)</f>
        <v>4336.509511237793</v>
      </c>
      <c r="E22" s="24">
        <f t="shared" si="215"/>
        <v>4656.7349906174813</v>
      </c>
      <c r="F22" s="24">
        <f t="shared" si="215"/>
        <v>5000.607220310575</v>
      </c>
      <c r="G22" s="24">
        <f t="shared" si="215"/>
        <v>5369.8723724251395</v>
      </c>
      <c r="H22" s="24">
        <f t="shared" si="215"/>
        <v>5766.4055635115246</v>
      </c>
      <c r="I22" s="24">
        <f t="shared" si="215"/>
        <v>6192.2203763438183</v>
      </c>
      <c r="J22" s="24">
        <f t="shared" si="215"/>
        <v>6649.4790848283237</v>
      </c>
      <c r="K22" s="24">
        <f t="shared" si="215"/>
        <v>7140.5036339608305</v>
      </c>
      <c r="L22" s="24">
        <f t="shared" si="215"/>
        <v>7667.7874305885125</v>
      </c>
      <c r="M22" s="24">
        <f t="shared" si="215"/>
        <v>8234.0080048496038</v>
      </c>
      <c r="N22" s="24">
        <f t="shared" si="215"/>
        <v>8842.0406065852185</v>
      </c>
      <c r="O22" s="24">
        <f t="shared" si="215"/>
        <v>9494.9728057654338</v>
      </c>
      <c r="P22" s="24">
        <f t="shared" si="215"/>
        <v>10196.120171070177</v>
      </c>
      <c r="Q22" s="24">
        <f t="shared" si="215"/>
        <v>10949.043106240195</v>
      </c>
      <c r="R22" s="24">
        <f t="shared" si="215"/>
        <v>11757.564929692589</v>
      </c>
      <c r="S22" s="24">
        <f t="shared" si="215"/>
        <v>12625.791289208617</v>
      </c>
      <c r="T22" s="24">
        <f t="shared" si="215"/>
        <v>13558.131010280897</v>
      </c>
      <c r="U22" s="24">
        <f t="shared" si="215"/>
        <v>14559.318483987265</v>
      </c>
      <c r="V22" s="24">
        <f t="shared" si="215"/>
        <v>15634.437708076228</v>
      </c>
      <c r="W22" s="24">
        <f t="shared" si="215"/>
        <v>16788.948103343766</v>
      </c>
      <c r="X22" s="24">
        <f t="shared" si="215"/>
        <v>18028.712236396339</v>
      </c>
      <c r="Y22" s="24">
        <f t="shared" si="215"/>
        <v>19360.025589575303</v>
      </c>
      <c r="Z22" s="24">
        <f t="shared" si="215"/>
        <v>20789.6485292135</v>
      </c>
      <c r="AA22" s="24">
        <f t="shared" si="215"/>
        <v>22324.840634557775</v>
      </c>
      <c r="AB22" s="24">
        <f t="shared" si="215"/>
        <v>23973.397561678597</v>
      </c>
      <c r="AC22" s="24">
        <f t="shared" si="215"/>
        <v>25743.69062956054</v>
      </c>
      <c r="AD22" s="24">
        <f t="shared" si="215"/>
        <v>27644.709329390476</v>
      </c>
      <c r="AE22" s="24">
        <f t="shared" si="215"/>
        <v>29686.106972904319</v>
      </c>
      <c r="AF22" s="24">
        <f t="shared" si="215"/>
        <v>31878.249711593147</v>
      </c>
      <c r="AG22" s="24">
        <f t="shared" si="215"/>
        <v>34232.269175686641</v>
      </c>
      <c r="AH22" s="24">
        <f t="shared" si="215"/>
        <v>36760.119000212864</v>
      </c>
      <c r="AI22" s="24">
        <f t="shared" si="215"/>
        <v>39474.635525172023</v>
      </c>
      <c r="AJ22" s="24">
        <f t="shared" si="215"/>
        <v>42389.602978057541</v>
      </c>
      <c r="AK22" s="24">
        <f t="shared" si="215"/>
        <v>45519.823469719413</v>
      </c>
      <c r="AL22" s="24">
        <f t="shared" si="215"/>
        <v>48881.192159006336</v>
      </c>
      <c r="AM22" s="24">
        <f t="shared" si="215"/>
        <v>52490.777967870512</v>
      </c>
      <c r="AN22" s="24">
        <f t="shared" si="215"/>
        <v>56366.910256803567</v>
      </c>
      <c r="AO22" s="24">
        <f t="shared" si="215"/>
        <v>60529.271900738859</v>
      </c>
      <c r="AP22" s="24">
        <f t="shared" si="215"/>
        <v>64998.999238056509</v>
      </c>
      <c r="AQ22" s="24">
        <f t="shared" si="215"/>
        <v>69798.789400229012</v>
      </c>
      <c r="AR22" s="24">
        <f t="shared" si="215"/>
        <v>74953.015567123861</v>
      </c>
      <c r="AS22" s="24">
        <f t="shared" si="215"/>
        <v>80487.850733226005</v>
      </c>
      <c r="AT22" s="24">
        <f t="shared" si="215"/>
        <v>86431.400613261008</v>
      </c>
      <c r="AU22" s="24">
        <f t="shared" si="215"/>
        <v>92813.846362109194</v>
      </c>
    </row>
    <row r="23" spans="1:47" x14ac:dyDescent="0.25">
      <c r="A23" s="9" t="s">
        <v>1</v>
      </c>
      <c r="B23" s="9" t="s">
        <v>30</v>
      </c>
      <c r="C23" s="24">
        <f t="shared" ref="C23:V23" si="216">C22+C14</f>
        <v>79038.3046875</v>
      </c>
      <c r="D23" s="24">
        <f t="shared" si="216"/>
        <v>83374.814198737789</v>
      </c>
      <c r="E23" s="24">
        <f t="shared" si="216"/>
        <v>88031.549189355268</v>
      </c>
      <c r="F23" s="24">
        <f t="shared" si="216"/>
        <v>93032.15640966584</v>
      </c>
      <c r="G23" s="24">
        <f t="shared" si="216"/>
        <v>98402.028782090987</v>
      </c>
      <c r="H23" s="24">
        <f t="shared" si="216"/>
        <v>104168.43434560251</v>
      </c>
      <c r="I23" s="24">
        <f t="shared" si="216"/>
        <v>110360.65472194632</v>
      </c>
      <c r="J23" s="24">
        <f t="shared" si="216"/>
        <v>117010.13380677465</v>
      </c>
      <c r="K23" s="24">
        <f t="shared" si="216"/>
        <v>124150.63744073549</v>
      </c>
      <c r="L23" s="24">
        <f t="shared" si="216"/>
        <v>131818.42487132401</v>
      </c>
      <c r="M23" s="24">
        <f t="shared" si="216"/>
        <v>140052.43287617361</v>
      </c>
      <c r="N23" s="24">
        <f t="shared" si="216"/>
        <v>148894.47348275883</v>
      </c>
      <c r="O23" s="24">
        <f t="shared" si="216"/>
        <v>158389.44628852425</v>
      </c>
      <c r="P23" s="24">
        <f t="shared" si="216"/>
        <v>168585.56645959444</v>
      </c>
      <c r="Q23" s="24">
        <f t="shared" si="216"/>
        <v>179534.60956583463</v>
      </c>
      <c r="R23" s="24">
        <f t="shared" si="216"/>
        <v>191292.17449552723</v>
      </c>
      <c r="S23" s="24">
        <f t="shared" si="216"/>
        <v>203917.96578473586</v>
      </c>
      <c r="T23" s="24">
        <f t="shared" si="216"/>
        <v>217476.09679501675</v>
      </c>
      <c r="U23" s="24">
        <f t="shared" si="216"/>
        <v>232035.41527900402</v>
      </c>
      <c r="V23" s="24">
        <f t="shared" si="216"/>
        <v>247669.85298708026</v>
      </c>
      <c r="W23" s="24">
        <f t="shared" ref="W23" si="217">W22+W14</f>
        <v>264458.80109042401</v>
      </c>
      <c r="X23" s="24">
        <f t="shared" ref="X23" si="218">X22+X14</f>
        <v>282487.51332682034</v>
      </c>
      <c r="Y23" s="24">
        <f t="shared" ref="Y23" si="219">Y22+Y14</f>
        <v>301847.53891639563</v>
      </c>
      <c r="Z23" s="24">
        <f t="shared" ref="Z23" si="220">Z22+Z14</f>
        <v>322637.18744560913</v>
      </c>
      <c r="AA23" s="24">
        <f t="shared" ref="AA23" si="221">AA22+AA14</f>
        <v>344962.0280801669</v>
      </c>
      <c r="AB23" s="24">
        <f t="shared" ref="AB23" si="222">AB22+AB14</f>
        <v>368935.4256418455</v>
      </c>
      <c r="AC23" s="24">
        <f t="shared" ref="AC23" si="223">AC22+AC14</f>
        <v>394679.11627140606</v>
      </c>
      <c r="AD23" s="24">
        <f t="shared" ref="AD23" si="224">AD22+AD14</f>
        <v>422323.82560079655</v>
      </c>
      <c r="AE23" s="24">
        <f t="shared" ref="AE23" si="225">AE22+AE14</f>
        <v>452009.93257370085</v>
      </c>
      <c r="AF23" s="24">
        <f t="shared" ref="AF23" si="226">AF22+AF14</f>
        <v>483888.18228529399</v>
      </c>
      <c r="AG23" s="24">
        <f t="shared" ref="AG23" si="227">AG22+AG14</f>
        <v>518120.45146098064</v>
      </c>
      <c r="AH23" s="24">
        <f t="shared" ref="AH23" si="228">AH22+AH14</f>
        <v>554880.57046119345</v>
      </c>
      <c r="AI23" s="24">
        <f t="shared" ref="AI23" si="229">AI22+AI14</f>
        <v>594355.20598636544</v>
      </c>
      <c r="AJ23" s="24">
        <f t="shared" ref="AJ23" si="230">AJ22+AJ14</f>
        <v>636744.80896442302</v>
      </c>
      <c r="AK23" s="24">
        <f t="shared" ref="AK23" si="231">AK22+AK14</f>
        <v>682264.6324341424</v>
      </c>
      <c r="AL23" s="24">
        <f t="shared" ref="AL23" si="232">AL22+AL14</f>
        <v>731145.82459314878</v>
      </c>
      <c r="AM23" s="24">
        <f t="shared" ref="AM23" si="233">AM22+AM14</f>
        <v>783636.60256101924</v>
      </c>
      <c r="AN23" s="24">
        <f t="shared" ref="AN23" si="234">AN22+AN14</f>
        <v>840003.51281782286</v>
      </c>
      <c r="AO23" s="24">
        <f t="shared" ref="AO23" si="235">AO22+AO14</f>
        <v>900532.78471856168</v>
      </c>
      <c r="AP23" s="24">
        <f t="shared" ref="AP23" si="236">AP22+AP14</f>
        <v>965531.78395661816</v>
      </c>
      <c r="AQ23" s="24">
        <f t="shared" ref="AQ23" si="237">AQ22+AQ14</f>
        <v>1035330.5733568472</v>
      </c>
      <c r="AR23" s="24">
        <f t="shared" ref="AR23" si="238">AR22+AR14</f>
        <v>1110283.5889239709</v>
      </c>
      <c r="AS23" s="24">
        <f t="shared" ref="AS23" si="239">AS22+AS14</f>
        <v>1190771.4396571969</v>
      </c>
      <c r="AT23" s="24">
        <f t="shared" ref="AT23" si="240">AT22+AT14</f>
        <v>1277202.8402704578</v>
      </c>
      <c r="AU23" s="24">
        <f t="shared" ref="AU23" si="241">AU22+AU14</f>
        <v>1370016.6866325671</v>
      </c>
    </row>
    <row r="24" spans="1:47" x14ac:dyDescent="0.25">
      <c r="A24" s="2" t="s">
        <v>6</v>
      </c>
      <c r="B24" s="2" t="s">
        <v>31</v>
      </c>
      <c r="C24" s="22">
        <f>MAX(C26,C28+C29)</f>
        <v>-509.74059523201691</v>
      </c>
      <c r="D24" s="22">
        <f>MAX(D26,D28+D29)</f>
        <v>-1093.9243330138747</v>
      </c>
      <c r="E24" s="22">
        <f t="shared" ref="E24:V24" si="242">MAX(E26,E28+E29)</f>
        <v>-1761.4032827377314</v>
      </c>
      <c r="F24" s="22">
        <f t="shared" si="242"/>
        <v>-2522.187824504218</v>
      </c>
      <c r="G24" s="22">
        <f>MAX(G26,G28+G29)</f>
        <v>-3387.6183166786282</v>
      </c>
      <c r="H24" s="22">
        <f t="shared" si="242"/>
        <v>-4370.5623259152981</v>
      </c>
      <c r="I24" s="22">
        <f t="shared" si="242"/>
        <v>-5485.6411825563146</v>
      </c>
      <c r="J24" s="22">
        <f t="shared" si="242"/>
        <v>-6743.5130173599782</v>
      </c>
      <c r="K24" s="22">
        <f t="shared" si="242"/>
        <v>-8143.6652822261458</v>
      </c>
      <c r="L24" s="22">
        <f t="shared" si="242"/>
        <v>-9694.5576522804404</v>
      </c>
      <c r="M24" s="22">
        <f t="shared" si="242"/>
        <v>-11405.732867719209</v>
      </c>
      <c r="N24" s="22">
        <f t="shared" si="242"/>
        <v>-13287.397384793314</v>
      </c>
      <c r="O24" s="22">
        <f t="shared" si="242"/>
        <v>-15350.482902662048</v>
      </c>
      <c r="P24" s="22">
        <f t="shared" si="242"/>
        <v>-17606.711582327342</v>
      </c>
      <c r="Q24" s="22">
        <f t="shared" si="242"/>
        <v>-20082.786314664474</v>
      </c>
      <c r="R24" s="22">
        <f t="shared" si="242"/>
        <v>-23083.041329118259</v>
      </c>
      <c r="S24" s="22">
        <f t="shared" si="242"/>
        <v>-26344.87885989908</v>
      </c>
      <c r="T24" s="22">
        <f t="shared" si="242"/>
        <v>-29885.775458788743</v>
      </c>
      <c r="U24" s="22">
        <f t="shared" si="242"/>
        <v>-33724.528642013589</v>
      </c>
      <c r="V24" s="22">
        <f t="shared" si="242"/>
        <v>-37881.361047159437</v>
      </c>
      <c r="W24" s="22">
        <f t="shared" ref="W24:Y24" si="243">MAX(W26,W28+W29)</f>
        <v>-42192.534185938799</v>
      </c>
      <c r="X24" s="22">
        <f t="shared" si="243"/>
        <v>-46774.496996340902</v>
      </c>
      <c r="Y24" s="22">
        <f t="shared" si="243"/>
        <v>-51722.686408035901</v>
      </c>
      <c r="Z24" s="22">
        <f t="shared" ref="Z24:AI24" si="244">MAX(Z26,Z28+Z29)</f>
        <v>-57062.659181802956</v>
      </c>
      <c r="AA24" s="22">
        <f t="shared" si="244"/>
        <v>-62821.912432468314</v>
      </c>
      <c r="AB24" s="22">
        <f t="shared" si="244"/>
        <v>-69030.028409285267</v>
      </c>
      <c r="AC24" s="22">
        <f t="shared" si="244"/>
        <v>-75718.829406459379</v>
      </c>
      <c r="AD24" s="22">
        <f t="shared" si="244"/>
        <v>-82922.543616135823</v>
      </c>
      <c r="AE24" s="22">
        <f t="shared" si="244"/>
        <v>-90677.982793304516</v>
      </c>
      <c r="AF24" s="22">
        <f t="shared" si="244"/>
        <v>-99393.994085513536</v>
      </c>
      <c r="AG24" s="22">
        <f t="shared" si="244"/>
        <v>-108932.75071860003</v>
      </c>
      <c r="AH24" s="22">
        <f t="shared" si="244"/>
        <v>-119204.93738486522</v>
      </c>
      <c r="AI24" s="22">
        <f t="shared" si="244"/>
        <v>-130262.95995289809</v>
      </c>
      <c r="AJ24" s="22">
        <f t="shared" ref="AJ24:AU24" si="245">MAX(AJ26,AJ28+AJ29)</f>
        <v>-142163.18479837026</v>
      </c>
      <c r="AK24" s="22">
        <f t="shared" si="245"/>
        <v>-154966.22856060861</v>
      </c>
      <c r="AL24" s="22">
        <f t="shared" si="245"/>
        <v>-168737.26909238208</v>
      </c>
      <c r="AM24" s="22">
        <f t="shared" si="245"/>
        <v>-183546.37921990416</v>
      </c>
      <c r="AN24" s="22">
        <f t="shared" si="245"/>
        <v>-199468.88504311879</v>
      </c>
      <c r="AO24" s="22">
        <f t="shared" si="245"/>
        <v>-216585.7506281996</v>
      </c>
      <c r="AP24" s="22">
        <f t="shared" si="245"/>
        <v>-234614.00801855803</v>
      </c>
      <c r="AQ24" s="22">
        <f t="shared" si="245"/>
        <v>-253023.43872286842</v>
      </c>
      <c r="AR24" s="22">
        <f t="shared" si="245"/>
        <v>-272792.29657869734</v>
      </c>
      <c r="AS24" s="22">
        <f t="shared" si="245"/>
        <v>-294020.96720958565</v>
      </c>
      <c r="AT24" s="22">
        <f t="shared" si="245"/>
        <v>-316817.24912133324</v>
      </c>
      <c r="AU24" s="22">
        <f t="shared" si="245"/>
        <v>-341296.90109933953</v>
      </c>
    </row>
    <row r="25" spans="1:47" x14ac:dyDescent="0.25">
      <c r="B25" s="18" t="s">
        <v>34</v>
      </c>
      <c r="C25" s="48">
        <f>C23-$C$14-1000</f>
        <v>3038.3046875</v>
      </c>
      <c r="D25" s="48">
        <f t="shared" ref="D25:AU25" si="246">D23-$C$14-1000</f>
        <v>7374.8141987377894</v>
      </c>
      <c r="E25" s="48">
        <f t="shared" si="246"/>
        <v>12031.549189355268</v>
      </c>
      <c r="F25" s="48">
        <f t="shared" si="246"/>
        <v>17032.15640966584</v>
      </c>
      <c r="G25" s="48">
        <f>G23-$C$14-1000</f>
        <v>22402.028782090987</v>
      </c>
      <c r="H25" s="48">
        <f t="shared" si="246"/>
        <v>28168.434345602509</v>
      </c>
      <c r="I25" s="48">
        <f t="shared" si="246"/>
        <v>34360.654721946325</v>
      </c>
      <c r="J25" s="48">
        <f t="shared" si="246"/>
        <v>41010.133806774655</v>
      </c>
      <c r="K25" s="48">
        <f t="shared" si="246"/>
        <v>48150.637440735489</v>
      </c>
      <c r="L25" s="48">
        <f t="shared" si="246"/>
        <v>55818.424871324009</v>
      </c>
      <c r="M25" s="48">
        <f t="shared" si="246"/>
        <v>64052.432876173611</v>
      </c>
      <c r="N25" s="48">
        <f t="shared" si="246"/>
        <v>72894.473482758825</v>
      </c>
      <c r="O25" s="48">
        <f t="shared" si="246"/>
        <v>82389.446288524254</v>
      </c>
      <c r="P25" s="48">
        <f t="shared" si="246"/>
        <v>92585.56645959444</v>
      </c>
      <c r="Q25" s="48">
        <f t="shared" si="246"/>
        <v>103534.60956583463</v>
      </c>
      <c r="R25" s="48">
        <f t="shared" si="246"/>
        <v>115292.17449552723</v>
      </c>
      <c r="S25" s="48">
        <f t="shared" si="246"/>
        <v>127917.96578473586</v>
      </c>
      <c r="T25" s="48">
        <f t="shared" si="246"/>
        <v>141476.09679501675</v>
      </c>
      <c r="U25" s="48">
        <f t="shared" si="246"/>
        <v>156035.41527900402</v>
      </c>
      <c r="V25" s="48">
        <f t="shared" si="246"/>
        <v>171669.85298708026</v>
      </c>
      <c r="W25" s="48">
        <f t="shared" si="246"/>
        <v>188458.80109042401</v>
      </c>
      <c r="X25" s="48">
        <f t="shared" si="246"/>
        <v>206487.51332682034</v>
      </c>
      <c r="Y25" s="48">
        <f t="shared" si="246"/>
        <v>225847.53891639563</v>
      </c>
      <c r="Z25" s="48">
        <f t="shared" si="246"/>
        <v>246637.18744560913</v>
      </c>
      <c r="AA25" s="48">
        <f t="shared" si="246"/>
        <v>268962.0280801669</v>
      </c>
      <c r="AB25" s="48">
        <f t="shared" si="246"/>
        <v>292935.4256418455</v>
      </c>
      <c r="AC25" s="48">
        <f t="shared" si="246"/>
        <v>318679.11627140606</v>
      </c>
      <c r="AD25" s="48">
        <f t="shared" si="246"/>
        <v>346323.82560079655</v>
      </c>
      <c r="AE25" s="48">
        <f t="shared" si="246"/>
        <v>376009.93257370085</v>
      </c>
      <c r="AF25" s="48">
        <f t="shared" si="246"/>
        <v>407888.18228529399</v>
      </c>
      <c r="AG25" s="48">
        <f t="shared" si="246"/>
        <v>442120.45146098064</v>
      </c>
      <c r="AH25" s="48">
        <f t="shared" si="246"/>
        <v>478880.57046119345</v>
      </c>
      <c r="AI25" s="48">
        <f t="shared" si="246"/>
        <v>518355.20598636544</v>
      </c>
      <c r="AJ25" s="48">
        <f t="shared" si="246"/>
        <v>560744.80896442302</v>
      </c>
      <c r="AK25" s="48">
        <f t="shared" si="246"/>
        <v>606264.6324341424</v>
      </c>
      <c r="AL25" s="48">
        <f t="shared" si="246"/>
        <v>655145.82459314878</v>
      </c>
      <c r="AM25" s="48">
        <f t="shared" si="246"/>
        <v>707636.60256101924</v>
      </c>
      <c r="AN25" s="48">
        <f t="shared" si="246"/>
        <v>764003.51281782286</v>
      </c>
      <c r="AO25" s="48">
        <f t="shared" si="246"/>
        <v>824532.78471856168</v>
      </c>
      <c r="AP25" s="48">
        <f t="shared" si="246"/>
        <v>889531.78395661816</v>
      </c>
      <c r="AQ25" s="48">
        <f t="shared" si="246"/>
        <v>959330.57335684716</v>
      </c>
      <c r="AR25" s="48">
        <f t="shared" si="246"/>
        <v>1034283.5889239709</v>
      </c>
      <c r="AS25" s="48">
        <f t="shared" si="246"/>
        <v>1114771.4396571969</v>
      </c>
      <c r="AT25" s="48">
        <f t="shared" si="246"/>
        <v>1201202.8402704578</v>
      </c>
      <c r="AU25" s="48">
        <f t="shared" si="246"/>
        <v>1294016.6866325671</v>
      </c>
    </row>
    <row r="26" spans="1:47" x14ac:dyDescent="0.25">
      <c r="B26" s="19" t="s">
        <v>33</v>
      </c>
      <c r="C26" s="31">
        <f>-C25*0.25*1.055</f>
        <v>-801.35286132812496</v>
      </c>
      <c r="D26" s="31">
        <f>-D25*0.25*1.055</f>
        <v>-1945.1072449170917</v>
      </c>
      <c r="E26" s="31">
        <f t="shared" ref="E26:V26" si="247">-E25*0.25*1.055</f>
        <v>-3173.3210986924519</v>
      </c>
      <c r="F26" s="31">
        <f t="shared" si="247"/>
        <v>-4492.2312530493655</v>
      </c>
      <c r="G26" s="31">
        <f>-G25*0.25*1.055</f>
        <v>-5908.535091276497</v>
      </c>
      <c r="H26" s="31">
        <f t="shared" si="247"/>
        <v>-7429.4245586526613</v>
      </c>
      <c r="I26" s="31">
        <f t="shared" si="247"/>
        <v>-9062.6226829133429</v>
      </c>
      <c r="J26" s="31">
        <f t="shared" si="247"/>
        <v>-10816.422791536814</v>
      </c>
      <c r="K26" s="31">
        <f t="shared" si="247"/>
        <v>-12699.730624993985</v>
      </c>
      <c r="L26" s="31">
        <f t="shared" si="247"/>
        <v>-14722.109559811706</v>
      </c>
      <c r="M26" s="31">
        <f t="shared" si="247"/>
        <v>-16893.829171090787</v>
      </c>
      <c r="N26" s="31">
        <f t="shared" si="247"/>
        <v>-19225.917381077637</v>
      </c>
      <c r="O26" s="31">
        <f t="shared" si="247"/>
        <v>-21730.216458598272</v>
      </c>
      <c r="P26" s="31">
        <f t="shared" si="247"/>
        <v>-24419.443153718032</v>
      </c>
      <c r="Q26" s="31">
        <f t="shared" si="247"/>
        <v>-27307.253272988881</v>
      </c>
      <c r="R26" s="31">
        <f t="shared" si="247"/>
        <v>-30408.311023195303</v>
      </c>
      <c r="S26" s="31">
        <f t="shared" si="247"/>
        <v>-33738.36347572408</v>
      </c>
      <c r="T26" s="31">
        <f t="shared" si="247"/>
        <v>-37314.320529685669</v>
      </c>
      <c r="U26" s="31">
        <f t="shared" si="247"/>
        <v>-41154.340779837308</v>
      </c>
      <c r="V26" s="31">
        <f t="shared" si="247"/>
        <v>-45277.923725342414</v>
      </c>
      <c r="W26" s="31">
        <f t="shared" ref="W26" si="248">-W25*0.25*1.055</f>
        <v>-49706.008787599327</v>
      </c>
      <c r="X26" s="31">
        <f t="shared" ref="X26" si="249">-X25*0.25*1.055</f>
        <v>-54461.081639948861</v>
      </c>
      <c r="Y26" s="31">
        <f t="shared" ref="Y26" si="250">-Y25*0.25*1.055</f>
        <v>-59567.288389199341</v>
      </c>
      <c r="Z26" s="31">
        <f t="shared" ref="Z26" si="251">-Z25*0.25*1.055</f>
        <v>-65050.558188779403</v>
      </c>
      <c r="AA26" s="31">
        <f t="shared" ref="AA26" si="252">-AA25*0.25*1.055</f>
        <v>-70938.734906144018</v>
      </c>
      <c r="AB26" s="31">
        <f t="shared" ref="AB26" si="253">-AB25*0.25*1.055</f>
        <v>-77261.718513036743</v>
      </c>
      <c r="AC26" s="31">
        <f t="shared" ref="AC26" si="254">-AC25*0.25*1.055</f>
        <v>-84051.616916583342</v>
      </c>
      <c r="AD26" s="31">
        <f t="shared" ref="AD26" si="255">-AD25*0.25*1.055</f>
        <v>-91342.909002210086</v>
      </c>
      <c r="AE26" s="31">
        <f t="shared" ref="AE26" si="256">-AE25*0.25*1.055</f>
        <v>-99172.619716313595</v>
      </c>
      <c r="AF26" s="31">
        <f t="shared" ref="AF26" si="257">-AF25*0.25*1.055</f>
        <v>-107580.50807774629</v>
      </c>
      <c r="AG26" s="31">
        <f t="shared" ref="AG26" si="258">-AG25*0.25*1.055</f>
        <v>-116609.26907283363</v>
      </c>
      <c r="AH26" s="31">
        <f t="shared" ref="AH26" si="259">-AH25*0.25*1.055</f>
        <v>-126304.75045913976</v>
      </c>
      <c r="AI26" s="31">
        <f t="shared" ref="AI26" si="260">-AI25*0.25*1.055</f>
        <v>-136716.18557890388</v>
      </c>
      <c r="AJ26" s="31">
        <f t="shared" ref="AJ26" si="261">-AJ25*0.25*1.055</f>
        <v>-147896.44336436657</v>
      </c>
      <c r="AK26" s="31">
        <f t="shared" ref="AK26" si="262">-AK25*0.25*1.055</f>
        <v>-159902.29680450505</v>
      </c>
      <c r="AL26" s="31">
        <f t="shared" ref="AL26" si="263">-AL25*0.25*1.055</f>
        <v>-172794.71123644299</v>
      </c>
      <c r="AM26" s="31">
        <f t="shared" ref="AM26" si="264">-AM25*0.25*1.055</f>
        <v>-186639.15392546883</v>
      </c>
      <c r="AN26" s="31">
        <f t="shared" ref="AN26" si="265">-AN25*0.25*1.055</f>
        <v>-201505.92650570077</v>
      </c>
      <c r="AO26" s="31">
        <f t="shared" ref="AO26" si="266">-AO25*0.25*1.055</f>
        <v>-217470.52196952063</v>
      </c>
      <c r="AP26" s="31">
        <f t="shared" ref="AP26" si="267">-AP25*0.25*1.055</f>
        <v>-234614.00801855803</v>
      </c>
      <c r="AQ26" s="31">
        <f t="shared" ref="AQ26" si="268">-AQ25*0.25*1.055</f>
        <v>-253023.43872286842</v>
      </c>
      <c r="AR26" s="31">
        <f t="shared" ref="AR26" si="269">-AR25*0.25*1.055</f>
        <v>-272792.29657869734</v>
      </c>
      <c r="AS26" s="31">
        <f t="shared" ref="AS26" si="270">-AS25*0.25*1.055</f>
        <v>-294020.96720958565</v>
      </c>
      <c r="AT26" s="31">
        <f t="shared" ref="AT26" si="271">-AT25*0.25*1.055</f>
        <v>-316817.24912133324</v>
      </c>
      <c r="AU26" s="31">
        <f t="shared" ref="AU26" si="272">-AU25*0.25*1.055</f>
        <v>-341296.90109933953</v>
      </c>
    </row>
    <row r="27" spans="1:47" x14ac:dyDescent="0.25">
      <c r="B27" s="15" t="s">
        <v>35</v>
      </c>
      <c r="C27" s="22">
        <f>(C23-$C$14)*0.6</f>
        <v>2422.9828124999999</v>
      </c>
      <c r="D27" s="22">
        <f>(D23-$C$14)*0.6</f>
        <v>5024.8885192426733</v>
      </c>
      <c r="E27" s="22">
        <f>(E23-$C$14)*0.6</f>
        <v>7818.9295136131605</v>
      </c>
      <c r="F27" s="22">
        <f t="shared" ref="F27:V27" si="273">(F23-$C$14)*0.6</f>
        <v>10819.293845799504</v>
      </c>
      <c r="G27" s="22">
        <f>(G23-$C$14)*0.6</f>
        <v>14041.217269254592</v>
      </c>
      <c r="H27" s="22">
        <f t="shared" si="273"/>
        <v>17501.060607361505</v>
      </c>
      <c r="I27" s="22">
        <f t="shared" si="273"/>
        <v>21216.392833167793</v>
      </c>
      <c r="J27" s="22">
        <f t="shared" si="273"/>
        <v>25206.080284064792</v>
      </c>
      <c r="K27" s="22">
        <f t="shared" si="273"/>
        <v>29490.382464441293</v>
      </c>
      <c r="L27" s="22">
        <f t="shared" si="273"/>
        <v>34091.054922794407</v>
      </c>
      <c r="M27" s="22">
        <f t="shared" si="273"/>
        <v>39031.459725704168</v>
      </c>
      <c r="N27" s="22">
        <f t="shared" si="273"/>
        <v>44336.684089655297</v>
      </c>
      <c r="O27" s="22">
        <f t="shared" si="273"/>
        <v>50033.667773114554</v>
      </c>
      <c r="P27" s="22">
        <f t="shared" si="273"/>
        <v>56151.339875756661</v>
      </c>
      <c r="Q27" s="22">
        <f t="shared" si="273"/>
        <v>62720.765739500777</v>
      </c>
      <c r="R27" s="22">
        <f t="shared" si="273"/>
        <v>69775.304697316329</v>
      </c>
      <c r="S27" s="22">
        <f t="shared" si="273"/>
        <v>77350.779470841517</v>
      </c>
      <c r="T27" s="22">
        <f t="shared" si="273"/>
        <v>85485.658077010055</v>
      </c>
      <c r="U27" s="22">
        <f t="shared" si="273"/>
        <v>94221.249167402406</v>
      </c>
      <c r="V27" s="22">
        <f t="shared" si="273"/>
        <v>103601.91179224815</v>
      </c>
      <c r="W27" s="22">
        <f t="shared" ref="W27:Y27" si="274">(W23-$C$14)*0.6</f>
        <v>113675.2806542544</v>
      </c>
      <c r="X27" s="22">
        <f t="shared" si="274"/>
        <v>124492.5079960922</v>
      </c>
      <c r="Y27" s="22">
        <f t="shared" si="274"/>
        <v>136108.52334983737</v>
      </c>
      <c r="Z27" s="22">
        <f t="shared" ref="Z27:AI27" si="275">(Z23-$C$14)*0.6</f>
        <v>148582.31246736547</v>
      </c>
      <c r="AA27" s="22">
        <f t="shared" si="275"/>
        <v>161977.21684810013</v>
      </c>
      <c r="AB27" s="22">
        <f t="shared" si="275"/>
        <v>176361.2553851073</v>
      </c>
      <c r="AC27" s="22">
        <f t="shared" si="275"/>
        <v>191807.46976284363</v>
      </c>
      <c r="AD27" s="22">
        <f t="shared" si="275"/>
        <v>208394.29536047793</v>
      </c>
      <c r="AE27" s="22">
        <f t="shared" si="275"/>
        <v>226205.9595442205</v>
      </c>
      <c r="AF27" s="22">
        <f t="shared" si="275"/>
        <v>245332.90937117639</v>
      </c>
      <c r="AG27" s="22">
        <f t="shared" si="275"/>
        <v>265872.27087658836</v>
      </c>
      <c r="AH27" s="22">
        <f t="shared" si="275"/>
        <v>287928.34227671608</v>
      </c>
      <c r="AI27" s="22">
        <f t="shared" si="275"/>
        <v>311613.12359181925</v>
      </c>
      <c r="AJ27" s="22">
        <f t="shared" ref="AJ27:AU27" si="276">(AJ23-$C$14)*0.6</f>
        <v>337046.88537865382</v>
      </c>
      <c r="AK27" s="22">
        <f t="shared" si="276"/>
        <v>364358.77946048544</v>
      </c>
      <c r="AL27" s="22">
        <f t="shared" si="276"/>
        <v>393687.49475588923</v>
      </c>
      <c r="AM27" s="22">
        <f t="shared" si="276"/>
        <v>425181.96153661155</v>
      </c>
      <c r="AN27" s="22">
        <f t="shared" si="276"/>
        <v>459002.10769069369</v>
      </c>
      <c r="AO27" s="22">
        <f t="shared" si="276"/>
        <v>495319.67083113699</v>
      </c>
      <c r="AP27" s="22">
        <f t="shared" si="276"/>
        <v>534319.0703739709</v>
      </c>
      <c r="AQ27" s="22">
        <f t="shared" si="276"/>
        <v>576198.3440141083</v>
      </c>
      <c r="AR27" s="22">
        <f t="shared" si="276"/>
        <v>621170.15335438249</v>
      </c>
      <c r="AS27" s="22">
        <f t="shared" si="276"/>
        <v>669462.86379431805</v>
      </c>
      <c r="AT27" s="22">
        <f t="shared" si="276"/>
        <v>721321.7041622746</v>
      </c>
      <c r="AU27" s="22">
        <f t="shared" si="276"/>
        <v>777010.01197954023</v>
      </c>
    </row>
    <row r="28" spans="1:47" ht="15.75" customHeight="1" x14ac:dyDescent="0.25">
      <c r="B28" s="16" t="s">
        <v>2</v>
      </c>
      <c r="C28" s="22">
        <f>C27*(-(IF(46364+C27&lt;=12096,0,
IF(46364+C27&lt;=17443,(932.3*(46364+C27-12096)/10000+1400)*(46364+C27-12096)/10000,
IF(46364+C27&lt;=68480,(176.64*(46364+C27-17443)/10000+2397)*(46364+C27-17443)/10000+1015.13,
IF(46364+C27&lt;=277826,(0.42*(46364+C27)-10911.92),0.45*(46364+C27)-19246.67)))))/(46364+C27))</f>
        <v>-509.74059523201691</v>
      </c>
      <c r="D28" s="22">
        <f>D27*(-(IF(46364+D27&lt;=12096,0,
IF(46364+D27&lt;=17443,(932.3*(46364+D27-12096)/10000+1400)*(46364+D27-12096)/10000,
IF(46364+D27&lt;=68480,(176.64*(46364+D27-17443)/10000+2397)*(46364+D27-17443)/10000+1015.13,
IF(46364+D27&lt;=277826,(0.42*(46364+D27)-10911.92),0.45*(46364+D27)-19246.67)))))/(46364+D27))</f>
        <v>-1093.9243330138747</v>
      </c>
      <c r="E28" s="22">
        <f t="shared" ref="E28:V28" si="277">E27*(-(IF(46364+E27&lt;=12096,0,
IF(46364+E27&lt;=17443,(932.3*(46364+E27-12096)/10000+1400)*(46364+E27-12096)/10000,
IF(46364+E27&lt;=68480,(176.64*(46364+E27-17443)/10000+2397)*(46364+E27-17443)/10000+1015.13,
IF(46364+E27&lt;=277826,(0.42*(46364+E27)-10911.92),0.45*(46364+E27)-19246.67)))))/(46364+E27))</f>
        <v>-1761.4032827377314</v>
      </c>
      <c r="F28" s="22">
        <f t="shared" si="277"/>
        <v>-2522.187824504218</v>
      </c>
      <c r="G28" s="22">
        <f>G27*(-(IF(46364+G27&lt;=12096,0,
IF(46364+G27&lt;=17443,(932.3*(46364+G27-12096)/10000+1400)*(46364+G27-12096)/10000,
IF(46364+G27&lt;=68480,(176.64*(46364+G27-17443)/10000+2397)*(46364+G27-17443)/10000+1015.13,
IF(46364+G27&lt;=277826,(0.42*(46364+G27)-10911.92),0.45*(46364+G27)-19246.67)))))/(46364+G27))</f>
        <v>-3387.6183166786282</v>
      </c>
      <c r="H28" s="22">
        <f t="shared" si="277"/>
        <v>-4370.5623259152981</v>
      </c>
      <c r="I28" s="22">
        <f t="shared" si="277"/>
        <v>-5485.6411825563146</v>
      </c>
      <c r="J28" s="22">
        <f t="shared" si="277"/>
        <v>-6743.5130173599782</v>
      </c>
      <c r="K28" s="22">
        <f t="shared" si="277"/>
        <v>-8143.6652822261458</v>
      </c>
      <c r="L28" s="22">
        <f t="shared" si="277"/>
        <v>-9694.5576522804404</v>
      </c>
      <c r="M28" s="22">
        <f t="shared" si="277"/>
        <v>-11405.732867719209</v>
      </c>
      <c r="N28" s="22">
        <f t="shared" si="277"/>
        <v>-13287.397384793314</v>
      </c>
      <c r="O28" s="22">
        <f t="shared" si="277"/>
        <v>-15350.482902662048</v>
      </c>
      <c r="P28" s="22">
        <f t="shared" si="277"/>
        <v>-17606.711582327342</v>
      </c>
      <c r="Q28" s="22">
        <f t="shared" si="277"/>
        <v>-20068.665160558063</v>
      </c>
      <c r="R28" s="22">
        <f t="shared" si="277"/>
        <v>-22749.858202965381</v>
      </c>
      <c r="S28" s="22">
        <f t="shared" si="277"/>
        <v>-25664.815781857978</v>
      </c>
      <c r="T28" s="22">
        <f t="shared" si="277"/>
        <v>-28829.15590597743</v>
      </c>
      <c r="U28" s="22">
        <f t="shared" si="277"/>
        <v>-32259.677070610895</v>
      </c>
      <c r="V28" s="22">
        <f t="shared" si="277"/>
        <v>-35974.45133794409</v>
      </c>
      <c r="W28" s="22">
        <f t="shared" ref="W28" si="278">W27*(-(IF(46364+W27&lt;=12096,0,
IF(46364+W27&lt;=17443,(932.3*(46364+W27-12096)/10000+1400)*(46364+W27-12096)/10000,
IF(46364+W27&lt;=68480,(176.64*(46364+W27-17443)/10000+2397)*(46364+W27-17443)/10000+1015.13,
IF(46364+W27&lt;=277826,(0.42*(46364+W27)-10911.92),0.45*(46364+W27)-19246.67)))))/(46364+W27))</f>
        <v>-39992.92339899412</v>
      </c>
      <c r="X28" s="22">
        <f t="shared" ref="X28" si="279">X27*(-(IF(46364+X27&lt;=12096,0,
IF(46364+X27&lt;=17443,(932.3*(46364+X27-12096)/10000+1400)*(46364+X27-12096)/10000,
IF(46364+X27&lt;=68480,(176.64*(46364+X27-17443)/10000+2397)*(46364+X27-17443)/10000+1015.13,
IF(46364+X27&lt;=277826,(0.42*(46364+X27)-10911.92),0.45*(46364+X27)-19246.67)))))/(46364+X27))</f>
        <v>-44336.016110275734</v>
      </c>
      <c r="Y28" s="22">
        <f t="shared" ref="Y28" si="280">Y27*(-(IF(46364+Y27&lt;=12096,0,
IF(46364+Y27&lt;=17443,(932.3*(46364+Y27-12096)/10000+1400)*(46364+Y27-12096)/10000,
IF(46364+Y27&lt;=68480,(176.64*(46364+Y27-17443)/10000+2397)*(46364+Y27-17443)/10000+1015.13,
IF(46364+Y27&lt;=277826,(0.42*(46364+Y27)-10911.92),0.45*(46364+Y27)-19246.67)))))/(46364+Y27))</f>
        <v>-49026.243040792324</v>
      </c>
      <c r="Z28" s="22">
        <f t="shared" ref="Z28" si="281">Z27*(-(IF(46364+Z27&lt;=12096,0,
IF(46364+Z27&lt;=17443,(932.3*(46364+Z27-12096)/10000+1400)*(46364+Z27-12096)/10000,
IF(46364+Z27&lt;=68480,(176.64*(46364+Z27-17443)/10000+2397)*(46364+Z27-17443)/10000+1015.13,
IF(46364+Z27&lt;=277826,(0.42*(46364+Z27)-10911.92),0.45*(46364+Z27)-19246.67)))))/(46364+Z27))</f>
        <v>-54087.828608344033</v>
      </c>
      <c r="AA28" s="22">
        <f t="shared" ref="AA28" si="282">AA27*(-(IF(46364+AA27&lt;=12096,0,
IF(46364+AA27&lt;=17443,(932.3*(46364+AA27-12096)/10000+1400)*(46364+AA27-12096)/10000,
IF(46364+AA27&lt;=68480,(176.64*(46364+AA27-17443)/10000+2397)*(46364+AA27-17443)/10000+1015.13,
IF(46364+AA27&lt;=277826,(0.42*(46364+AA27)-10911.92),0.45*(46364+AA27)-19246.67)))))/(46364+AA27))</f>
        <v>-59546.83642887992</v>
      </c>
      <c r="AB28" s="22">
        <f t="shared" ref="AB28" si="283">AB27*(-(IF(46364+AB27&lt;=12096,0,
IF(46364+AB27&lt;=17443,(932.3*(46364+AB27-12096)/10000+1400)*(46364+AB27-12096)/10000,
IF(46364+AB27&lt;=68480,(176.64*(46364+AB27-17443)/10000+2397)*(46364+AB27-17443)/10000+1015.13,
IF(46364+AB27&lt;=277826,(0.42*(46364+AB27)-10911.92),0.45*(46364+AB27)-19246.67)))))/(46364+AB27))</f>
        <v>-65431.306549085566</v>
      </c>
      <c r="AC28" s="22">
        <f t="shared" ref="AC28" si="284">AC27*(-(IF(46364+AC27&lt;=12096,0,
IF(46364+AC27&lt;=17443,(932.3*(46364+AC27-12096)/10000+1400)*(46364+AC27-12096)/10000,
IF(46364+AC27&lt;=68480,(176.64*(46364+AC27-17443)/10000+2397)*(46364+AC27-17443)/10000+1015.13,
IF(46364+AC27&lt;=277826,(0.42*(46364+AC27)-10911.92),0.45*(46364+AC27)-19246.67)))))/(46364+AC27))</f>
        <v>-71771.40228100415</v>
      </c>
      <c r="AD28" s="22">
        <f t="shared" ref="AD28" si="285">AD27*(-(IF(46364+AD27&lt;=12096,0,
IF(46364+AD27&lt;=17443,(932.3*(46364+AD27-12096)/10000+1400)*(46364+AD27-12096)/10000,
IF(46364+AD27&lt;=68480,(176.64*(46364+AD27-17443)/10000+2397)*(46364+AD27-17443)/10000+1015.13,
IF(46364+AD27&lt;=277826,(0.42*(46364+AD27)-10911.92),0.45*(46364+AD27)-19246.67)))))/(46364+AD27))</f>
        <v>-78599.567408659554</v>
      </c>
      <c r="AE28" s="22">
        <f t="shared" ref="AE28" si="286">AE27*(-(IF(46364+AE27&lt;=12096,0,
IF(46364+AE27&lt;=17443,(932.3*(46364+AE27-12096)/10000+1400)*(46364+AE27-12096)/10000,
IF(46364+AE27&lt;=68480,(176.64*(46364+AE27-17443)/10000+2397)*(46364+AE27-17443)/10000+1015.13,
IF(46364+AE27&lt;=277826,(0.42*(46364+AE27)-10911.92),0.45*(46364+AE27)-19246.67)))))/(46364+AE27))</f>
        <v>-85950.694590809973</v>
      </c>
      <c r="AF28" s="22">
        <f t="shared" ref="AF28" si="287">AF27*(-(IF(46364+AF27&lt;=12096,0,
IF(46364+AF27&lt;=17443,(932.3*(46364+AF27-12096)/10000+1400)*(46364+AF27-12096)/10000,
IF(46364+AF27&lt;=68480,(176.64*(46364+AF27-17443)/10000+2397)*(46364+AF27-17443)/10000+1015.13,
IF(46364+AF27&lt;=277826,(0.42*(46364+AF27)-10911.92),0.45*(46364+AF27)-19246.67)))))/(46364+AF27))</f>
        <v>-94212.316668733212</v>
      </c>
      <c r="AG28" s="22">
        <f t="shared" ref="AG28" si="288">AG27*(-(IF(46364+AG27&lt;=12096,0,
IF(46364+AG27&lt;=17443,(932.3*(46364+AG27-12096)/10000+1400)*(46364+AG27-12096)/10000,
IF(46364+AG27&lt;=68480,(176.64*(46364+AG27-17443)/10000+2397)*(46364+AG27-17443)/10000+1015.13,
IF(46364+AG27&lt;=277826,(0.42*(46364+AG27)-10911.92),0.45*(46364+AG27)-19246.67)))))/(46364+AG27))</f>
        <v>-103253.79215033178</v>
      </c>
      <c r="AH28" s="22">
        <f t="shared" ref="AH28" si="289">AH27*(-(IF(46364+AH27&lt;=12096,0,
IF(46364+AH27&lt;=17443,(932.3*(46364+AH27-12096)/10000+1400)*(46364+AH27-12096)/10000,
IF(46364+AH27&lt;=68480,(176.64*(46364+AH27-17443)/10000+2397)*(46364+AH27-17443)/10000+1015.13,
IF(46364+AH27&lt;=277826,(0.42*(46364+AH27)-10911.92),0.45*(46364+AH27)-19246.67)))))/(46364+AH27))</f>
        <v>-112990.46197617556</v>
      </c>
      <c r="AI28" s="22">
        <f t="shared" ref="AI28" si="290">AI27*(-(IF(46364+AI27&lt;=12096,0,
IF(46364+AI27&lt;=17443,(932.3*(46364+AI27-12096)/10000+1400)*(46364+AI27-12096)/10000,
IF(46364+AI27&lt;=68480,(176.64*(46364+AI27-17443)/10000+2397)*(46364+AI27-17443)/10000+1015.13,
IF(46364+AI27&lt;=277826,(0.42*(46364+AI27)-10911.92),0.45*(46364+AI27)-19246.67)))))/(46364+AI27))</f>
        <v>-123471.99995535365</v>
      </c>
      <c r="AJ28" s="22">
        <f t="shared" ref="AJ28" si="291">AJ27*(-(IF(46364+AJ27&lt;=12096,0,
IF(46364+AJ27&lt;=17443,(932.3*(46364+AJ27-12096)/10000+1400)*(46364+AJ27-12096)/10000,
IF(46364+AJ27&lt;=68480,(176.64*(46364+AJ27-17443)/10000+2397)*(46364+AJ27-17443)/10000+1015.13,
IF(46364+AJ27&lt;=277826,(0.42*(46364+AJ27)-10911.92),0.45*(46364+AJ27)-19246.67)))))/(46364+AJ27))</f>
        <v>-134751.83393210452</v>
      </c>
      <c r="AK28" s="22">
        <f t="shared" ref="AK28" si="292">AK27*(-(IF(46364+AK27&lt;=12096,0,
IF(46364+AK27&lt;=17443,(932.3*(46364+AK27-12096)/10000+1400)*(46364+AK27-12096)/10000,
IF(46364+AK27&lt;=68480,(176.64*(46364+AK27-17443)/10000+2397)*(46364+AK27-17443)/10000+1015.13,
IF(46364+AK27&lt;=277826,(0.42*(46364+AK27)-10911.92),0.45*(46364+AK27)-19246.67)))))/(46364+AK27))</f>
        <v>-146887.42043659583</v>
      </c>
      <c r="AL28" s="22">
        <f t="shared" ref="AL28" si="293">AL27*(-(IF(46364+AL27&lt;=12096,0,
IF(46364+AL27&lt;=17443,(932.3*(46364+AL27-12096)/10000+1400)*(46364+AL27-12096)/10000,
IF(46364+AL27&lt;=68480,(176.64*(46364+AL27-17443)/10000+2397)*(46364+AL27-17443)/10000+1015.13,
IF(46364+AL27&lt;=277826,(0.42*(46364+AL27)-10911.92),0.45*(46364+AL27)-19246.67)))))/(46364+AL27))</f>
        <v>-159940.53942405884</v>
      </c>
      <c r="AM28" s="22">
        <f t="shared" ref="AM28" si="294">AM27*(-(IF(46364+AM27&lt;=12096,0,
IF(46364+AM27&lt;=17443,(932.3*(46364+AM27-12096)/10000+1400)*(46364+AM27-12096)/10000,
IF(46364+AM27&lt;=68480,(176.64*(46364+AM27-17443)/10000+2397)*(46364+AM27-17443)/10000+1015.13,
IF(46364+AM27&lt;=277826,(0.42*(46364+AM27)-10911.92),0.45*(46364+AM27)-19246.67)))))/(46364+AM27))</f>
        <v>-173977.61063498026</v>
      </c>
      <c r="AN28" s="22">
        <f t="shared" ref="AN28" si="295">AN27*(-(IF(46364+AN27&lt;=12096,0,
IF(46364+AN27&lt;=17443,(932.3*(46364+AN27-12096)/10000+1400)*(46364+AN27-12096)/10000,
IF(46364+AN27&lt;=68480,(176.64*(46364+AN27-17443)/10000+2397)*(46364+AN27-17443)/10000+1015.13,
IF(46364+AN27&lt;=277826,(0.42*(46364+AN27)-10911.92),0.45*(46364+AN27)-19246.67)))))/(46364+AN27))</f>
        <v>-189070.03321622635</v>
      </c>
      <c r="AO28" s="22">
        <f t="shared" ref="AO28" si="296">AO27*(-(IF(46364+AO27&lt;=12096,0,
IF(46364+AO27&lt;=17443,(932.3*(46364+AO27-12096)/10000+1400)*(46364+AO27-12096)/10000,
IF(46364+AO27&lt;=68480,(176.64*(46364+AO27-17443)/10000+2397)*(46364+AO27-17443)/10000+1015.13,
IF(46364+AO27&lt;=277826,(0.42*(46364+AO27)-10911.92),0.45*(46364+AO27)-19246.67)))))/(46364+AO27))</f>
        <v>-205294.55035848304</v>
      </c>
      <c r="AP28" s="22">
        <f t="shared" ref="AP28" si="297">AP27*(-(IF(46364+AP27&lt;=12096,0,
IF(46364+AP27&lt;=17443,(932.3*(46364+AP27-12096)/10000+1400)*(46364+AP27-12096)/10000,
IF(46364+AP27&lt;=68480,(176.64*(46364+AP27-17443)/10000+2397)*(46364+AP27-17443)/10000+1015.13,
IF(46364+AP27&lt;=277826,(0.42*(46364+AP27)-10911.92),0.45*(46364+AP27)-19246.67)))))/(46364+AP27))</f>
        <v>-222733.6408298678</v>
      </c>
      <c r="AQ28" s="22">
        <f t="shared" ref="AQ28" si="298">AQ27*(-(IF(46364+AQ27&lt;=12096,0,
IF(46364+AQ27&lt;=17443,(932.3*(46364+AQ27-12096)/10000+1400)*(46364+AQ27-12096)/10000,
IF(46364+AQ27&lt;=68480,(176.64*(46364+AQ27-17443)/10000+2397)*(46364+AQ27-17443)/10000+1015.13,
IF(46364+AQ27&lt;=277826,(0.42*(46364+AQ27)-10911.92),0.45*(46364+AQ27)-19246.67)))))/(46364+AQ27))</f>
        <v>-241475.9394196817</v>
      </c>
      <c r="AR28" s="22">
        <f t="shared" ref="AR28" si="299">AR27*(-(IF(46364+AR27&lt;=12096,0,
IF(46364+AR27&lt;=17443,(932.3*(46364+AR27-12096)/10000+1400)*(46364+AR27-12096)/10000,
IF(46364+AR27&lt;=68480,(176.64*(46364+AR27-17443)/10000+2397)*(46364+AR27-17443)/10000+1015.13,
IF(46364+AR27&lt;=277826,(0.42*(46364+AR27)-10911.92),0.45*(46364+AR27)-19246.67)))))/(46364+AR27))</f>
        <v>-261616.68845072528</v>
      </c>
      <c r="AS28" s="22">
        <f t="shared" ref="AS28" si="300">AS27*(-(IF(46364+AS27&lt;=12096,0,
IF(46364+AS27&lt;=17443,(932.3*(46364+AS27-12096)/10000+1400)*(46364+AS27-12096)/10000,
IF(46364+AS27&lt;=68480,(176.64*(46364+AS27-17443)/10000+2397)*(46364+AS27-17443)/10000+1015.13,
IF(46364+AS27&lt;=277826,(0.42*(46364+AS27)-10911.92),0.45*(46364+AS27)-19246.67)))))/(46364+AS27))</f>
        <v>-283258.22267414822</v>
      </c>
      <c r="AT28" s="22">
        <f t="shared" ref="AT28" si="301">AT27*(-(IF(46364+AT27&lt;=12096,0,
IF(46364+AT27&lt;=17443,(932.3*(46364+AT27-12096)/10000+1400)*(46364+AT27-12096)/10000,
IF(46364+AT27&lt;=68480,(176.64*(46364+AT27-17443)/10000+2397)*(46364+AT27-17443)/10000+1015.13,
IF(46364+AT27&lt;=277826,(0.42*(46364+AT27)-10911.92),0.45*(46364+AT27)-19246.67)))))/(46364+AT27))</f>
        <v>-306510.49002824555</v>
      </c>
      <c r="AU28" s="22">
        <f t="shared" ref="AU28" si="302">AU27*(-(IF(46364+AU27&lt;=12096,0,
IF(46364+AU27&lt;=17443,(932.3*(46364+AU27-12096)/10000+1400)*(46364+AU27-12096)/10000,
IF(46364+AU27&lt;=68480,(176.64*(46364+AU27-17443)/10000+2397)*(46364+AU27-17443)/10000+1015.13,
IF(46364+AU27&lt;=277826,(0.42*(46364+AU27)-10911.92),0.45*(46364+AU27)-19246.67)))))/(46364+AU27))</f>
        <v>-331491.61092280759</v>
      </c>
    </row>
    <row r="29" spans="1:47" ht="15.75" customHeight="1" x14ac:dyDescent="0.25">
      <c r="B29" s="17" t="s">
        <v>18</v>
      </c>
      <c r="C29" s="22">
        <f>IF(C28&lt;-19950,MAX(11.9%*(C28+19950),5.5%*C28),0)</f>
        <v>0</v>
      </c>
      <c r="D29" s="22">
        <f>IF(D28&lt;-19950,MAX(11.9%*(D28+19950),5.5%*D28),0)</f>
        <v>0</v>
      </c>
      <c r="E29" s="22">
        <f t="shared" ref="E29:V29" si="303">IF(E28&lt;-19950,MAX(11.9%*(E28+19950),5.5%*E28),0)</f>
        <v>0</v>
      </c>
      <c r="F29" s="22">
        <f t="shared" si="303"/>
        <v>0</v>
      </c>
      <c r="G29" s="22">
        <f t="shared" si="303"/>
        <v>0</v>
      </c>
      <c r="H29" s="22">
        <f t="shared" si="303"/>
        <v>0</v>
      </c>
      <c r="I29" s="22">
        <f t="shared" si="303"/>
        <v>0</v>
      </c>
      <c r="J29" s="22">
        <f t="shared" si="303"/>
        <v>0</v>
      </c>
      <c r="K29" s="22">
        <f t="shared" si="303"/>
        <v>0</v>
      </c>
      <c r="L29" s="22">
        <f t="shared" si="303"/>
        <v>0</v>
      </c>
      <c r="M29" s="22">
        <f t="shared" si="303"/>
        <v>0</v>
      </c>
      <c r="N29" s="22">
        <f t="shared" si="303"/>
        <v>0</v>
      </c>
      <c r="O29" s="22">
        <f t="shared" si="303"/>
        <v>0</v>
      </c>
      <c r="P29" s="22">
        <f t="shared" si="303"/>
        <v>0</v>
      </c>
      <c r="Q29" s="22">
        <f t="shared" si="303"/>
        <v>-14.121154106409472</v>
      </c>
      <c r="R29" s="22">
        <f t="shared" si="303"/>
        <v>-333.18312615288033</v>
      </c>
      <c r="S29" s="22">
        <f t="shared" si="303"/>
        <v>-680.06307804109952</v>
      </c>
      <c r="T29" s="22">
        <f t="shared" si="303"/>
        <v>-1056.6195528113142</v>
      </c>
      <c r="U29" s="22">
        <f t="shared" si="303"/>
        <v>-1464.8515714026967</v>
      </c>
      <c r="V29" s="22">
        <f t="shared" si="303"/>
        <v>-1906.909709215347</v>
      </c>
      <c r="W29" s="22">
        <f t="shared" ref="W29" si="304">IF(W28&lt;-19950,MAX(11.9%*(W28+19950),5.5%*W28),0)</f>
        <v>-2199.6107869446764</v>
      </c>
      <c r="X29" s="22">
        <f t="shared" ref="X29" si="305">IF(X28&lt;-19950,MAX(11.9%*(X28+19950),5.5%*X28),0)</f>
        <v>-2438.4808860651656</v>
      </c>
      <c r="Y29" s="22">
        <f t="shared" ref="Y29" si="306">IF(Y28&lt;-19950,MAX(11.9%*(Y28+19950),5.5%*Y28),0)</f>
        <v>-2696.443367243578</v>
      </c>
      <c r="Z29" s="22">
        <f t="shared" ref="Z29" si="307">IF(Z28&lt;-19950,MAX(11.9%*(Z28+19950),5.5%*Z28),0)</f>
        <v>-2974.8305734589217</v>
      </c>
      <c r="AA29" s="22">
        <f t="shared" ref="AA29" si="308">IF(AA28&lt;-19950,MAX(11.9%*(AA28+19950),5.5%*AA28),0)</f>
        <v>-3275.0760035883955</v>
      </c>
      <c r="AB29" s="22">
        <f t="shared" ref="AB29" si="309">IF(AB28&lt;-19950,MAX(11.9%*(AB28+19950),5.5%*AB28),0)</f>
        <v>-3598.721860199706</v>
      </c>
      <c r="AC29" s="22">
        <f t="shared" ref="AC29" si="310">IF(AC28&lt;-19950,MAX(11.9%*(AC28+19950),5.5%*AC28),0)</f>
        <v>-3947.4271254552282</v>
      </c>
      <c r="AD29" s="22">
        <f t="shared" ref="AD29" si="311">IF(AD28&lt;-19950,MAX(11.9%*(AD28+19950),5.5%*AD28),0)</f>
        <v>-4322.9762074762757</v>
      </c>
      <c r="AE29" s="22">
        <f t="shared" ref="AE29" si="312">IF(AE28&lt;-19950,MAX(11.9%*(AE28+19950),5.5%*AE28),0)</f>
        <v>-4727.2882024945484</v>
      </c>
      <c r="AF29" s="22">
        <f t="shared" ref="AF29" si="313">IF(AF28&lt;-19950,MAX(11.9%*(AF28+19950),5.5%*AF28),0)</f>
        <v>-5181.6774167803269</v>
      </c>
      <c r="AG29" s="22">
        <f t="shared" ref="AG29" si="314">IF(AG28&lt;-19950,MAX(11.9%*(AG28+19950),5.5%*AG28),0)</f>
        <v>-5678.9585682682482</v>
      </c>
      <c r="AH29" s="22">
        <f t="shared" ref="AH29" si="315">IF(AH28&lt;-19950,MAX(11.9%*(AH28+19950),5.5%*AH28),0)</f>
        <v>-6214.4754086896555</v>
      </c>
      <c r="AI29" s="22">
        <f t="shared" ref="AI29" si="316">IF(AI28&lt;-19950,MAX(11.9%*(AI28+19950),5.5%*AI28),0)</f>
        <v>-6790.9599975444507</v>
      </c>
      <c r="AJ29" s="22">
        <f t="shared" ref="AJ29" si="317">IF(AJ28&lt;-19950,MAX(11.9%*(AJ28+19950),5.5%*AJ28),0)</f>
        <v>-7411.3508662657487</v>
      </c>
      <c r="AK29" s="22">
        <f t="shared" ref="AK29" si="318">IF(AK28&lt;-19950,MAX(11.9%*(AK28+19950),5.5%*AK28),0)</f>
        <v>-8078.8081240127703</v>
      </c>
      <c r="AL29" s="22">
        <f t="shared" ref="AL29" si="319">IF(AL28&lt;-19950,MAX(11.9%*(AL28+19950),5.5%*AL28),0)</f>
        <v>-8796.7296683232362</v>
      </c>
      <c r="AM29" s="22">
        <f t="shared" ref="AM29" si="320">IF(AM28&lt;-19950,MAX(11.9%*(AM28+19950),5.5%*AM28),0)</f>
        <v>-9568.7685849239151</v>
      </c>
      <c r="AN29" s="22">
        <f t="shared" ref="AN29" si="321">IF(AN28&lt;-19950,MAX(11.9%*(AN28+19950),5.5%*AN28),0)</f>
        <v>-10398.851826892449</v>
      </c>
      <c r="AO29" s="22">
        <f t="shared" ref="AO29" si="322">IF(AO28&lt;-19950,MAX(11.9%*(AO28+19950),5.5%*AO28),0)</f>
        <v>-11291.200269716568</v>
      </c>
      <c r="AP29" s="22">
        <f t="shared" ref="AP29" si="323">IF(AP28&lt;-19950,MAX(11.9%*(AP28+19950),5.5%*AP28),0)</f>
        <v>-12250.350245642729</v>
      </c>
      <c r="AQ29" s="22">
        <f t="shared" ref="AQ29" si="324">IF(AQ28&lt;-19950,MAX(11.9%*(AQ28+19950),5.5%*AQ28),0)</f>
        <v>-13281.176668082493</v>
      </c>
      <c r="AR29" s="22">
        <f t="shared" ref="AR29" si="325">IF(AR28&lt;-19950,MAX(11.9%*(AR28+19950),5.5%*AR28),0)</f>
        <v>-14388.91786478989</v>
      </c>
      <c r="AS29" s="22">
        <f t="shared" ref="AS29" si="326">IF(AS28&lt;-19950,MAX(11.9%*(AS28+19950),5.5%*AS28),0)</f>
        <v>-15579.202247078152</v>
      </c>
      <c r="AT29" s="22">
        <f t="shared" ref="AT29" si="327">IF(AT28&lt;-19950,MAX(11.9%*(AT28+19950),5.5%*AT28),0)</f>
        <v>-16858.076951553507</v>
      </c>
      <c r="AU29" s="22">
        <f t="shared" ref="AU29" si="328">IF(AU28&lt;-19950,MAX(11.9%*(AU28+19950),5.5%*AU28),0)</f>
        <v>-18232.038600754418</v>
      </c>
    </row>
    <row r="30" spans="1:47" x14ac:dyDescent="0.25">
      <c r="A30" s="9" t="s">
        <v>1</v>
      </c>
      <c r="B30" s="9" t="s">
        <v>38</v>
      </c>
      <c r="C30" s="24">
        <f>SUM(C23:C24)</f>
        <v>78528.564092267989</v>
      </c>
      <c r="D30" s="24">
        <f>SUM(D23:D24)</f>
        <v>82280.889865723919</v>
      </c>
      <c r="E30" s="24">
        <f t="shared" ref="E30:V30" si="329">SUM(E23:E24)</f>
        <v>86270.14590661753</v>
      </c>
      <c r="F30" s="24">
        <f t="shared" si="329"/>
        <v>90509.968585161623</v>
      </c>
      <c r="G30" s="24">
        <f t="shared" si="329"/>
        <v>95014.410465412366</v>
      </c>
      <c r="H30" s="24">
        <f t="shared" si="329"/>
        <v>99797.872019687216</v>
      </c>
      <c r="I30" s="24">
        <f t="shared" si="329"/>
        <v>104875.01353939001</v>
      </c>
      <c r="J30" s="24">
        <f t="shared" si="329"/>
        <v>110266.62078941468</v>
      </c>
      <c r="K30" s="24">
        <f t="shared" si="329"/>
        <v>116006.97215850934</v>
      </c>
      <c r="L30" s="24">
        <f t="shared" si="329"/>
        <v>122123.86721904358</v>
      </c>
      <c r="M30" s="24">
        <f t="shared" si="329"/>
        <v>128646.7000084544</v>
      </c>
      <c r="N30" s="24">
        <f t="shared" si="329"/>
        <v>135607.0760979655</v>
      </c>
      <c r="O30" s="24">
        <f t="shared" si="329"/>
        <v>143038.96338586221</v>
      </c>
      <c r="P30" s="24">
        <f t="shared" si="329"/>
        <v>150978.85487726709</v>
      </c>
      <c r="Q30" s="24">
        <f t="shared" si="329"/>
        <v>159451.82325117016</v>
      </c>
      <c r="R30" s="24">
        <f t="shared" si="329"/>
        <v>168209.13316640898</v>
      </c>
      <c r="S30" s="24">
        <f t="shared" si="329"/>
        <v>177573.0869248368</v>
      </c>
      <c r="T30" s="24">
        <f t="shared" si="329"/>
        <v>187590.32133622802</v>
      </c>
      <c r="U30" s="24">
        <f t="shared" si="329"/>
        <v>198310.88663699044</v>
      </c>
      <c r="V30" s="24">
        <f t="shared" si="329"/>
        <v>209788.49193992082</v>
      </c>
      <c r="W30" s="24">
        <f t="shared" ref="W30:Y30" si="330">SUM(W23:W24)</f>
        <v>222266.26690448521</v>
      </c>
      <c r="X30" s="24">
        <f t="shared" si="330"/>
        <v>235713.01633047944</v>
      </c>
      <c r="Y30" s="24">
        <f t="shared" si="330"/>
        <v>250124.85250835973</v>
      </c>
      <c r="Z30" s="24">
        <f t="shared" ref="Z30:AI30" si="331">SUM(Z23:Z24)</f>
        <v>265574.52826380619</v>
      </c>
      <c r="AA30" s="24">
        <f t="shared" si="331"/>
        <v>282140.11564769858</v>
      </c>
      <c r="AB30" s="24">
        <f t="shared" si="331"/>
        <v>299905.39723256021</v>
      </c>
      <c r="AC30" s="24">
        <f t="shared" si="331"/>
        <v>318960.28686494671</v>
      </c>
      <c r="AD30" s="24">
        <f t="shared" si="331"/>
        <v>339401.28198466072</v>
      </c>
      <c r="AE30" s="24">
        <f t="shared" si="331"/>
        <v>361331.9497803963</v>
      </c>
      <c r="AF30" s="24">
        <f t="shared" si="331"/>
        <v>384494.18819978047</v>
      </c>
      <c r="AG30" s="24">
        <f t="shared" si="331"/>
        <v>409187.70074238058</v>
      </c>
      <c r="AH30" s="24">
        <f t="shared" si="331"/>
        <v>435675.6330763282</v>
      </c>
      <c r="AI30" s="24">
        <f t="shared" si="331"/>
        <v>464092.24603346735</v>
      </c>
      <c r="AJ30" s="24">
        <f t="shared" ref="AJ30:AU30" si="332">SUM(AJ23:AJ24)</f>
        <v>494581.62416605279</v>
      </c>
      <c r="AK30" s="24">
        <f t="shared" si="332"/>
        <v>527298.40387353383</v>
      </c>
      <c r="AL30" s="24">
        <f t="shared" si="332"/>
        <v>562408.55550076673</v>
      </c>
      <c r="AM30" s="24">
        <f t="shared" si="332"/>
        <v>600090.22334111505</v>
      </c>
      <c r="AN30" s="24">
        <f t="shared" si="332"/>
        <v>640534.62777470401</v>
      </c>
      <c r="AO30" s="24">
        <f t="shared" si="332"/>
        <v>683947.03409036202</v>
      </c>
      <c r="AP30" s="24">
        <f t="shared" si="332"/>
        <v>730917.77593806013</v>
      </c>
      <c r="AQ30" s="24">
        <f t="shared" si="332"/>
        <v>782307.13463397871</v>
      </c>
      <c r="AR30" s="24">
        <f t="shared" si="332"/>
        <v>837491.29234527354</v>
      </c>
      <c r="AS30" s="24">
        <f t="shared" si="332"/>
        <v>896750.47244761116</v>
      </c>
      <c r="AT30" s="24">
        <f t="shared" si="332"/>
        <v>960385.59114912455</v>
      </c>
      <c r="AU30" s="24">
        <f t="shared" si="332"/>
        <v>1028719.7855332275</v>
      </c>
    </row>
    <row r="32" spans="1:47" s="45" customFormat="1" ht="18.75" x14ac:dyDescent="0.3">
      <c r="A32" s="36" t="s">
        <v>1</v>
      </c>
      <c r="B32" s="36" t="s">
        <v>16</v>
      </c>
      <c r="C32" s="46">
        <f t="shared" ref="C32:V32" si="333">C30-C11</f>
        <v>-6152.6859077320114</v>
      </c>
      <c r="D32" s="46">
        <f t="shared" si="333"/>
        <v>-7340.1029077135754</v>
      </c>
      <c r="E32" s="46">
        <f t="shared" si="333"/>
        <v>-8563.3560615282186</v>
      </c>
      <c r="F32" s="46">
        <f t="shared" si="333"/>
        <v>-9823.8708197876695</v>
      </c>
      <c r="G32" s="46">
        <f t="shared" si="333"/>
        <v>-11123.488134178973</v>
      </c>
      <c r="H32" s="46">
        <f t="shared" si="333"/>
        <v>-12464.578668200309</v>
      </c>
      <c r="I32" s="46">
        <f t="shared" si="333"/>
        <v>-13850.179347419296</v>
      </c>
      <c r="J32" s="46">
        <f t="shared" si="333"/>
        <v>-15278.178842113135</v>
      </c>
      <c r="K32" s="46">
        <f t="shared" si="333"/>
        <v>-16734.004377671896</v>
      </c>
      <c r="L32" s="46">
        <f t="shared" si="333"/>
        <v>-18210.650115244905</v>
      </c>
      <c r="M32" s="46">
        <f t="shared" si="333"/>
        <v>-19700.663954886826</v>
      </c>
      <c r="N32" s="46">
        <f t="shared" si="333"/>
        <v>-21195.593869226461</v>
      </c>
      <c r="O32" s="46">
        <f t="shared" si="333"/>
        <v>-22685.904013580643</v>
      </c>
      <c r="P32" s="46">
        <f t="shared" si="333"/>
        <v>-24160.882543888758</v>
      </c>
      <c r="Q32" s="46">
        <f t="shared" si="333"/>
        <v>-25622.661545710143</v>
      </c>
      <c r="R32" s="46">
        <f t="shared" si="333"/>
        <v>-27348.68333784907</v>
      </c>
      <c r="S32" s="46">
        <f t="shared" si="333"/>
        <v>-29046.937759515742</v>
      </c>
      <c r="T32" s="46">
        <f t="shared" si="333"/>
        <v>-30702.752836163592</v>
      </c>
      <c r="U32" s="46">
        <f t="shared" si="333"/>
        <v>-32299.80822485793</v>
      </c>
      <c r="V32" s="46">
        <f t="shared" si="333"/>
        <v>-33819.987228830258</v>
      </c>
      <c r="W32" s="46">
        <f t="shared" ref="W32:Y32" si="334">W30-W11</f>
        <v>-35057.717973365332</v>
      </c>
      <c r="X32" s="46">
        <f t="shared" si="334"/>
        <v>-36083.827337344905</v>
      </c>
      <c r="Y32" s="46">
        <f t="shared" si="334"/>
        <v>-36944.023120747268</v>
      </c>
      <c r="Z32" s="46">
        <f t="shared" ref="Z32:AI32" si="335">Z30-Z11</f>
        <v>-37609.681841445563</v>
      </c>
      <c r="AA32" s="46">
        <f t="shared" si="335"/>
        <v>-38049.297559302533</v>
      </c>
      <c r="AB32" s="46">
        <f t="shared" si="335"/>
        <v>-38228.225134964974</v>
      </c>
      <c r="AC32" s="46">
        <f t="shared" si="335"/>
        <v>-38108.401462685259</v>
      </c>
      <c r="AD32" s="46">
        <f t="shared" si="335"/>
        <v>-37648.04297656269</v>
      </c>
      <c r="AE32" s="46">
        <f t="shared" si="335"/>
        <v>-36801.317593529646</v>
      </c>
      <c r="AF32" s="46">
        <f t="shared" si="335"/>
        <v>-35887.250531949452</v>
      </c>
      <c r="AG32" s="46">
        <f t="shared" si="335"/>
        <v>-34670.425559317053</v>
      </c>
      <c r="AH32" s="46">
        <f t="shared" si="335"/>
        <v>-32955.534137091308</v>
      </c>
      <c r="AI32" s="46">
        <f t="shared" si="335"/>
        <v>-30679.898444518156</v>
      </c>
      <c r="AJ32" s="46">
        <f t="shared" ref="AJ32:AU32" si="336">AJ30-AJ11</f>
        <v>-27774.969664826465</v>
      </c>
      <c r="AK32" s="46">
        <f t="shared" si="336"/>
        <v>-24165.818122944329</v>
      </c>
      <c r="AL32" s="46">
        <f t="shared" si="336"/>
        <v>-19770.581504079513</v>
      </c>
      <c r="AM32" s="46">
        <f t="shared" si="336"/>
        <v>-14499.867885217536</v>
      </c>
      <c r="AN32" s="46">
        <f t="shared" si="336"/>
        <v>-8256.1100515326252</v>
      </c>
      <c r="AO32" s="46">
        <f t="shared" si="336"/>
        <v>-932.86729021708015</v>
      </c>
      <c r="AP32" s="46">
        <f t="shared" si="336"/>
        <v>7955.9125031221192</v>
      </c>
      <c r="AQ32" s="46">
        <f t="shared" si="336"/>
        <v>19160.470802492695</v>
      </c>
      <c r="AR32" s="46">
        <f t="shared" si="336"/>
        <v>31940.873670342611</v>
      </c>
      <c r="AS32" s="46">
        <f t="shared" si="336"/>
        <v>46454.816591473878</v>
      </c>
      <c r="AT32" s="46">
        <f t="shared" si="336"/>
        <v>62873.922046181164</v>
      </c>
      <c r="AU32" s="46">
        <f t="shared" si="336"/>
        <v>81384.893952006008</v>
      </c>
    </row>
    <row r="33" spans="1:47" x14ac:dyDescent="0.25">
      <c r="A33" s="47" t="s">
        <v>15</v>
      </c>
    </row>
    <row r="34" spans="1:47" x14ac:dyDescent="0.25">
      <c r="A34" s="2" t="s">
        <v>14</v>
      </c>
    </row>
    <row r="36" spans="1:47" x14ac:dyDescent="0.25">
      <c r="B36" s="2" t="s">
        <v>41</v>
      </c>
      <c r="C36" s="2" t="b">
        <f t="shared" ref="C36:AU36" si="337">IF(AND(B32&lt;=0,C32&gt;0),TRUE,FALSE)</f>
        <v>0</v>
      </c>
      <c r="D36" s="2" t="b">
        <f t="shared" si="337"/>
        <v>0</v>
      </c>
      <c r="E36" s="2" t="b">
        <f t="shared" si="337"/>
        <v>0</v>
      </c>
      <c r="F36" s="2" t="b">
        <f t="shared" si="337"/>
        <v>0</v>
      </c>
      <c r="G36" s="2" t="b">
        <f t="shared" si="337"/>
        <v>0</v>
      </c>
      <c r="H36" s="2" t="b">
        <f t="shared" si="337"/>
        <v>0</v>
      </c>
      <c r="I36" s="2" t="b">
        <f t="shared" si="337"/>
        <v>0</v>
      </c>
      <c r="J36" s="2" t="b">
        <f t="shared" si="337"/>
        <v>0</v>
      </c>
      <c r="K36" s="2" t="b">
        <f t="shared" si="337"/>
        <v>0</v>
      </c>
      <c r="L36" s="2" t="b">
        <f t="shared" si="337"/>
        <v>0</v>
      </c>
      <c r="M36" s="2" t="b">
        <f t="shared" si="337"/>
        <v>0</v>
      </c>
      <c r="N36" s="2" t="b">
        <f t="shared" si="337"/>
        <v>0</v>
      </c>
      <c r="O36" s="2" t="b">
        <f t="shared" si="337"/>
        <v>0</v>
      </c>
      <c r="P36" s="2" t="b">
        <f t="shared" si="337"/>
        <v>0</v>
      </c>
      <c r="Q36" s="2" t="b">
        <f t="shared" si="337"/>
        <v>0</v>
      </c>
      <c r="R36" s="2" t="b">
        <f t="shared" si="337"/>
        <v>0</v>
      </c>
      <c r="S36" s="2" t="b">
        <f t="shared" si="337"/>
        <v>0</v>
      </c>
      <c r="T36" s="2" t="b">
        <f t="shared" si="337"/>
        <v>0</v>
      </c>
      <c r="U36" s="2" t="b">
        <f t="shared" si="337"/>
        <v>0</v>
      </c>
      <c r="V36" s="2" t="b">
        <f t="shared" si="337"/>
        <v>0</v>
      </c>
      <c r="W36" s="2" t="b">
        <f t="shared" si="337"/>
        <v>0</v>
      </c>
      <c r="X36" s="2" t="b">
        <f t="shared" si="337"/>
        <v>0</v>
      </c>
      <c r="Y36" s="2" t="b">
        <f t="shared" si="337"/>
        <v>0</v>
      </c>
      <c r="Z36" s="2" t="b">
        <f t="shared" si="337"/>
        <v>0</v>
      </c>
      <c r="AA36" s="2" t="b">
        <f t="shared" si="337"/>
        <v>0</v>
      </c>
      <c r="AB36" s="2" t="b">
        <f t="shared" si="337"/>
        <v>0</v>
      </c>
      <c r="AC36" s="2" t="b">
        <f t="shared" si="337"/>
        <v>0</v>
      </c>
      <c r="AD36" s="2" t="b">
        <f t="shared" si="337"/>
        <v>0</v>
      </c>
      <c r="AE36" s="2" t="b">
        <f t="shared" si="337"/>
        <v>0</v>
      </c>
      <c r="AF36" s="2" t="b">
        <f t="shared" si="337"/>
        <v>0</v>
      </c>
      <c r="AG36" s="2" t="b">
        <f t="shared" si="337"/>
        <v>0</v>
      </c>
      <c r="AH36" s="2" t="b">
        <f t="shared" si="337"/>
        <v>0</v>
      </c>
      <c r="AI36" s="2" t="b">
        <f t="shared" si="337"/>
        <v>0</v>
      </c>
      <c r="AJ36" s="2" t="b">
        <f t="shared" si="337"/>
        <v>0</v>
      </c>
      <c r="AK36" s="2" t="b">
        <f t="shared" si="337"/>
        <v>0</v>
      </c>
      <c r="AL36" s="2" t="b">
        <f t="shared" si="337"/>
        <v>0</v>
      </c>
      <c r="AM36" s="2" t="b">
        <f t="shared" si="337"/>
        <v>0</v>
      </c>
      <c r="AN36" s="2" t="b">
        <f t="shared" si="337"/>
        <v>0</v>
      </c>
      <c r="AO36" s="2" t="b">
        <f t="shared" si="337"/>
        <v>0</v>
      </c>
      <c r="AP36" s="2" t="b">
        <f t="shared" si="337"/>
        <v>1</v>
      </c>
      <c r="AQ36" s="2" t="b">
        <f t="shared" si="337"/>
        <v>0</v>
      </c>
      <c r="AR36" s="2" t="b">
        <f t="shared" si="337"/>
        <v>0</v>
      </c>
      <c r="AS36" s="2" t="b">
        <f t="shared" si="337"/>
        <v>0</v>
      </c>
      <c r="AT36" s="2" t="b">
        <f t="shared" si="337"/>
        <v>0</v>
      </c>
      <c r="AU36" s="2" t="b">
        <f t="shared" si="337"/>
        <v>0</v>
      </c>
    </row>
    <row r="37" spans="1:47" x14ac:dyDescent="0.25">
      <c r="B37" s="2" t="s">
        <v>40</v>
      </c>
      <c r="C37" s="2">
        <f>INDEX(C3:AU3,1,MATCH(TRUE,C36:AU36,0))</f>
        <v>40</v>
      </c>
    </row>
    <row r="38" spans="1:47" ht="18.75" x14ac:dyDescent="0.3">
      <c r="R38" s="36" t="s">
        <v>42</v>
      </c>
      <c r="S38" s="36"/>
    </row>
    <row r="39" spans="1:47" x14ac:dyDescent="0.25">
      <c r="S39" s="50" t="s">
        <v>40</v>
      </c>
    </row>
    <row r="40" spans="1:47" x14ac:dyDescent="0.25">
      <c r="R40" s="49"/>
      <c r="S40" s="50">
        <f>C37</f>
        <v>40</v>
      </c>
    </row>
    <row r="41" spans="1:47" x14ac:dyDescent="0.25">
      <c r="Q41" s="56" t="s">
        <v>27</v>
      </c>
      <c r="R41" s="52">
        <v>25000</v>
      </c>
      <c r="S41" s="53" t="e">
        <f t="dataTable" ref="S41:S86" dt2D="0" dtr="0" r1="C4"/>
        <v>#N/A</v>
      </c>
    </row>
    <row r="42" spans="1:47" x14ac:dyDescent="0.25">
      <c r="Q42" s="57"/>
      <c r="R42" s="51">
        <f t="shared" ref="R42:R86" si="338">R41+25000</f>
        <v>50000</v>
      </c>
      <c r="S42" s="50" t="e">
        <v>#N/A</v>
      </c>
    </row>
    <row r="43" spans="1:47" x14ac:dyDescent="0.25">
      <c r="Q43" s="57"/>
      <c r="R43" s="51">
        <f t="shared" si="338"/>
        <v>75000</v>
      </c>
      <c r="S43" s="50">
        <v>42</v>
      </c>
    </row>
    <row r="44" spans="1:47" x14ac:dyDescent="0.25">
      <c r="Q44" s="57"/>
      <c r="R44" s="51">
        <f t="shared" si="338"/>
        <v>100000</v>
      </c>
      <c r="S44" s="50">
        <v>32</v>
      </c>
    </row>
    <row r="45" spans="1:47" x14ac:dyDescent="0.25">
      <c r="Q45" s="57"/>
      <c r="R45" s="51">
        <f t="shared" si="338"/>
        <v>125000</v>
      </c>
      <c r="S45" s="50">
        <v>26</v>
      </c>
    </row>
    <row r="46" spans="1:47" x14ac:dyDescent="0.25">
      <c r="Q46" s="57"/>
      <c r="R46" s="51">
        <f t="shared" si="338"/>
        <v>150000</v>
      </c>
      <c r="S46" s="50">
        <v>22</v>
      </c>
    </row>
    <row r="47" spans="1:47" x14ac:dyDescent="0.25">
      <c r="Q47" s="57"/>
      <c r="R47" s="51">
        <f t="shared" si="338"/>
        <v>175000</v>
      </c>
      <c r="S47" s="50">
        <v>19</v>
      </c>
    </row>
    <row r="48" spans="1:47" x14ac:dyDescent="0.25">
      <c r="Q48" s="57"/>
      <c r="R48" s="51">
        <f t="shared" si="338"/>
        <v>200000</v>
      </c>
      <c r="S48" s="50">
        <v>17</v>
      </c>
    </row>
    <row r="49" spans="17:19" x14ac:dyDescent="0.25">
      <c r="Q49" s="57"/>
      <c r="R49" s="51">
        <f t="shared" si="338"/>
        <v>225000</v>
      </c>
      <c r="S49" s="50">
        <v>15</v>
      </c>
    </row>
    <row r="50" spans="17:19" x14ac:dyDescent="0.25">
      <c r="Q50" s="57"/>
      <c r="R50" s="51">
        <f t="shared" si="338"/>
        <v>250000</v>
      </c>
      <c r="S50" s="50">
        <v>14</v>
      </c>
    </row>
    <row r="51" spans="17:19" x14ac:dyDescent="0.25">
      <c r="Q51" s="57"/>
      <c r="R51" s="51">
        <f t="shared" si="338"/>
        <v>275000</v>
      </c>
      <c r="S51" s="50">
        <v>13</v>
      </c>
    </row>
    <row r="52" spans="17:19" x14ac:dyDescent="0.25">
      <c r="Q52" s="57"/>
      <c r="R52" s="51">
        <f t="shared" si="338"/>
        <v>300000</v>
      </c>
      <c r="S52" s="50">
        <v>12</v>
      </c>
    </row>
    <row r="53" spans="17:19" x14ac:dyDescent="0.25">
      <c r="Q53" s="57"/>
      <c r="R53" s="51">
        <f t="shared" si="338"/>
        <v>325000</v>
      </c>
      <c r="S53" s="50">
        <v>11</v>
      </c>
    </row>
    <row r="54" spans="17:19" x14ac:dyDescent="0.25">
      <c r="Q54" s="57"/>
      <c r="R54" s="51">
        <f t="shared" si="338"/>
        <v>350000</v>
      </c>
      <c r="S54" s="50">
        <v>11</v>
      </c>
    </row>
    <row r="55" spans="17:19" x14ac:dyDescent="0.25">
      <c r="Q55" s="57"/>
      <c r="R55" s="51">
        <f t="shared" si="338"/>
        <v>375000</v>
      </c>
      <c r="S55" s="50">
        <v>10</v>
      </c>
    </row>
    <row r="56" spans="17:19" x14ac:dyDescent="0.25">
      <c r="Q56" s="57"/>
      <c r="R56" s="51">
        <f t="shared" si="338"/>
        <v>400000</v>
      </c>
      <c r="S56" s="50">
        <v>10</v>
      </c>
    </row>
    <row r="57" spans="17:19" x14ac:dyDescent="0.25">
      <c r="Q57" s="57"/>
      <c r="R57" s="51">
        <f t="shared" si="338"/>
        <v>425000</v>
      </c>
      <c r="S57" s="50">
        <v>9</v>
      </c>
    </row>
    <row r="58" spans="17:19" x14ac:dyDescent="0.25">
      <c r="Q58" s="57"/>
      <c r="R58" s="51">
        <f t="shared" si="338"/>
        <v>450000</v>
      </c>
      <c r="S58" s="50">
        <v>9</v>
      </c>
    </row>
    <row r="59" spans="17:19" x14ac:dyDescent="0.25">
      <c r="Q59" s="57"/>
      <c r="R59" s="51">
        <f t="shared" si="338"/>
        <v>475000</v>
      </c>
      <c r="S59" s="50">
        <v>8</v>
      </c>
    </row>
    <row r="60" spans="17:19" x14ac:dyDescent="0.25">
      <c r="Q60" s="57"/>
      <c r="R60" s="51">
        <f t="shared" si="338"/>
        <v>500000</v>
      </c>
      <c r="S60" s="50">
        <v>8</v>
      </c>
    </row>
    <row r="61" spans="17:19" x14ac:dyDescent="0.25">
      <c r="Q61" s="57"/>
      <c r="R61" s="51">
        <f t="shared" si="338"/>
        <v>525000</v>
      </c>
      <c r="S61" s="50">
        <v>8</v>
      </c>
    </row>
    <row r="62" spans="17:19" x14ac:dyDescent="0.25">
      <c r="Q62" s="57"/>
      <c r="R62" s="51">
        <f t="shared" si="338"/>
        <v>550000</v>
      </c>
      <c r="S62" s="50">
        <v>7</v>
      </c>
    </row>
    <row r="63" spans="17:19" x14ac:dyDescent="0.25">
      <c r="Q63" s="57"/>
      <c r="R63" s="51">
        <f t="shared" si="338"/>
        <v>575000</v>
      </c>
      <c r="S63" s="50">
        <v>7</v>
      </c>
    </row>
    <row r="64" spans="17:19" x14ac:dyDescent="0.25">
      <c r="Q64" s="57"/>
      <c r="R64" s="51">
        <f t="shared" si="338"/>
        <v>600000</v>
      </c>
      <c r="S64" s="50">
        <v>7</v>
      </c>
    </row>
    <row r="65" spans="17:19" x14ac:dyDescent="0.25">
      <c r="Q65" s="57"/>
      <c r="R65" s="51">
        <f t="shared" si="338"/>
        <v>625000</v>
      </c>
      <c r="S65" s="50">
        <v>7</v>
      </c>
    </row>
    <row r="66" spans="17:19" x14ac:dyDescent="0.25">
      <c r="Q66" s="57"/>
      <c r="R66" s="51">
        <f t="shared" si="338"/>
        <v>650000</v>
      </c>
      <c r="S66" s="50">
        <v>7</v>
      </c>
    </row>
    <row r="67" spans="17:19" x14ac:dyDescent="0.25">
      <c r="Q67" s="57"/>
      <c r="R67" s="51">
        <f t="shared" si="338"/>
        <v>675000</v>
      </c>
      <c r="S67" s="50">
        <v>6</v>
      </c>
    </row>
    <row r="68" spans="17:19" x14ac:dyDescent="0.25">
      <c r="Q68" s="57"/>
      <c r="R68" s="51">
        <f t="shared" si="338"/>
        <v>700000</v>
      </c>
      <c r="S68" s="50">
        <v>6</v>
      </c>
    </row>
    <row r="69" spans="17:19" x14ac:dyDescent="0.25">
      <c r="Q69" s="57"/>
      <c r="R69" s="51">
        <f t="shared" si="338"/>
        <v>725000</v>
      </c>
      <c r="S69" s="50">
        <v>6</v>
      </c>
    </row>
    <row r="70" spans="17:19" x14ac:dyDescent="0.25">
      <c r="Q70" s="57"/>
      <c r="R70" s="51">
        <f t="shared" si="338"/>
        <v>750000</v>
      </c>
      <c r="S70" s="50">
        <v>6</v>
      </c>
    </row>
    <row r="71" spans="17:19" x14ac:dyDescent="0.25">
      <c r="Q71" s="57"/>
      <c r="R71" s="51">
        <f t="shared" si="338"/>
        <v>775000</v>
      </c>
      <c r="S71" s="50">
        <v>6</v>
      </c>
    </row>
    <row r="72" spans="17:19" x14ac:dyDescent="0.25">
      <c r="Q72" s="57"/>
      <c r="R72" s="51">
        <f t="shared" si="338"/>
        <v>800000</v>
      </c>
      <c r="S72" s="50">
        <v>6</v>
      </c>
    </row>
    <row r="73" spans="17:19" x14ac:dyDescent="0.25">
      <c r="Q73" s="57"/>
      <c r="R73" s="51">
        <f t="shared" si="338"/>
        <v>825000</v>
      </c>
      <c r="S73" s="50">
        <v>6</v>
      </c>
    </row>
    <row r="74" spans="17:19" x14ac:dyDescent="0.25">
      <c r="Q74" s="57"/>
      <c r="R74" s="51">
        <f t="shared" si="338"/>
        <v>850000</v>
      </c>
      <c r="S74" s="50">
        <v>6</v>
      </c>
    </row>
    <row r="75" spans="17:19" x14ac:dyDescent="0.25">
      <c r="Q75" s="57"/>
      <c r="R75" s="51">
        <f t="shared" si="338"/>
        <v>875000</v>
      </c>
      <c r="S75" s="50">
        <v>5</v>
      </c>
    </row>
    <row r="76" spans="17:19" x14ac:dyDescent="0.25">
      <c r="Q76" s="57"/>
      <c r="R76" s="51">
        <f t="shared" si="338"/>
        <v>900000</v>
      </c>
      <c r="S76" s="50">
        <v>5</v>
      </c>
    </row>
    <row r="77" spans="17:19" x14ac:dyDescent="0.25">
      <c r="Q77" s="57"/>
      <c r="R77" s="51">
        <f t="shared" si="338"/>
        <v>925000</v>
      </c>
      <c r="S77" s="50">
        <v>5</v>
      </c>
    </row>
    <row r="78" spans="17:19" x14ac:dyDescent="0.25">
      <c r="Q78" s="57"/>
      <c r="R78" s="51">
        <f t="shared" si="338"/>
        <v>950000</v>
      </c>
      <c r="S78" s="50">
        <v>5</v>
      </c>
    </row>
    <row r="79" spans="17:19" x14ac:dyDescent="0.25">
      <c r="Q79" s="57"/>
      <c r="R79" s="51">
        <f t="shared" si="338"/>
        <v>975000</v>
      </c>
      <c r="S79" s="50">
        <v>5</v>
      </c>
    </row>
    <row r="80" spans="17:19" x14ac:dyDescent="0.25">
      <c r="Q80" s="57"/>
      <c r="R80" s="51">
        <f t="shared" si="338"/>
        <v>1000000</v>
      </c>
      <c r="S80" s="50">
        <v>5</v>
      </c>
    </row>
    <row r="81" spans="17:19" x14ac:dyDescent="0.25">
      <c r="Q81" s="57"/>
      <c r="R81" s="51">
        <f t="shared" si="338"/>
        <v>1025000</v>
      </c>
      <c r="S81" s="50">
        <v>5</v>
      </c>
    </row>
    <row r="82" spans="17:19" x14ac:dyDescent="0.25">
      <c r="Q82" s="57"/>
      <c r="R82" s="51">
        <f t="shared" si="338"/>
        <v>1050000</v>
      </c>
      <c r="S82" s="50">
        <v>5</v>
      </c>
    </row>
    <row r="83" spans="17:19" x14ac:dyDescent="0.25">
      <c r="Q83" s="57"/>
      <c r="R83" s="51">
        <f t="shared" si="338"/>
        <v>1075000</v>
      </c>
      <c r="S83" s="50">
        <v>5</v>
      </c>
    </row>
    <row r="84" spans="17:19" x14ac:dyDescent="0.25">
      <c r="Q84" s="57"/>
      <c r="R84" s="51">
        <f t="shared" si="338"/>
        <v>1100000</v>
      </c>
      <c r="S84" s="50">
        <v>5</v>
      </c>
    </row>
    <row r="85" spans="17:19" x14ac:dyDescent="0.25">
      <c r="Q85" s="57"/>
      <c r="R85" s="51">
        <f t="shared" si="338"/>
        <v>1125000</v>
      </c>
      <c r="S85" s="50">
        <v>5</v>
      </c>
    </row>
    <row r="86" spans="17:19" x14ac:dyDescent="0.25">
      <c r="Q86" s="57"/>
      <c r="R86" s="51">
        <f t="shared" si="338"/>
        <v>1150000</v>
      </c>
      <c r="S86" s="50">
        <v>5</v>
      </c>
    </row>
  </sheetData>
  <mergeCells count="1">
    <mergeCell ref="Q41:Q86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I. Steuerlast Deckeln</vt:lpstr>
      <vt:lpstr>II. Aktiengewinne</vt:lpstr>
      <vt:lpstr>III. Aktiengewinne thesaurieren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GmbH als Steueroase – Wahr oder Scam?</dc:title>
  <dc:subject>Finanzen &amp; Investieren, Projekt- &amp; Management</dc:subject>
  <dc:creator>Nico Litschke</dc:creator>
  <cp:lastModifiedBy>Nico Litschke</cp:lastModifiedBy>
  <dcterms:created xsi:type="dcterms:W3CDTF">2025-04-03T15:02:33Z</dcterms:created>
  <dcterms:modified xsi:type="dcterms:W3CDTF">2025-04-10T18:02:03Z</dcterms:modified>
</cp:coreProperties>
</file>